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tabRatio="594" activeTab="13"/>
  </bookViews>
  <sheets>
    <sheet name="НВВ 2020" sheetId="62" r:id="rId1"/>
    <sheet name="интел.учет" sheetId="61" r:id="rId2"/>
    <sheet name="Кол-во учетов" sheetId="63" r:id="rId3"/>
    <sheet name="2.2" sheetId="6" r:id="rId4"/>
    <sheet name="2.1" sheetId="7" r:id="rId5"/>
    <sheet name="2.1бесхоз" sheetId="64" r:id="rId6"/>
    <sheet name="1.16" sheetId="16" r:id="rId7"/>
    <sheet name="мэс-план" sheetId="36" r:id="rId8"/>
    <sheet name="МЭС- факт" sheetId="66" r:id="rId9"/>
    <sheet name="ДЭК" sheetId="59" r:id="rId10"/>
    <sheet name="ДРСК" sheetId="60" r:id="rId11"/>
    <sheet name="Смета расходов по годам" sheetId="40" r:id="rId12"/>
    <sheet name="план-факт 2018" sheetId="45" r:id="rId13"/>
    <sheet name="Отчет по НВВ " sheetId="46" r:id="rId14"/>
  </sheets>
  <calcPr calcId="152511"/>
</workbook>
</file>

<file path=xl/calcChain.xml><?xml version="1.0" encoding="utf-8"?>
<calcChain xmlns="http://schemas.openxmlformats.org/spreadsheetml/2006/main">
  <c r="D64" i="62" l="1"/>
  <c r="D11" i="62"/>
  <c r="J29" i="46"/>
  <c r="E40" i="16" l="1"/>
  <c r="R23" i="63" l="1"/>
  <c r="R22" i="63"/>
  <c r="R20" i="63"/>
  <c r="B20" i="63"/>
  <c r="R18" i="63"/>
  <c r="B16" i="63"/>
  <c r="R16" i="63" s="1"/>
  <c r="N14" i="63"/>
  <c r="R14" i="63" s="1"/>
  <c r="J14" i="63"/>
  <c r="H14" i="63"/>
  <c r="R12" i="63"/>
  <c r="R10" i="63"/>
  <c r="D8" i="63"/>
  <c r="R8" i="63" s="1"/>
  <c r="B8" i="63"/>
  <c r="R6" i="63"/>
  <c r="B4" i="63"/>
  <c r="R4" i="63" s="1"/>
  <c r="E30" i="61" l="1"/>
  <c r="E29" i="61"/>
  <c r="E28" i="61"/>
  <c r="E27" i="61"/>
  <c r="E63" i="36"/>
  <c r="J16" i="46"/>
  <c r="J5" i="46"/>
  <c r="T35" i="40"/>
  <c r="T21" i="40"/>
  <c r="E188" i="45"/>
  <c r="E190" i="45" s="1"/>
  <c r="E31" i="61" l="1"/>
  <c r="E20" i="45"/>
  <c r="E35" i="45" s="1"/>
  <c r="E39" i="45" s="1"/>
  <c r="E51" i="45" s="1"/>
  <c r="F31" i="45"/>
  <c r="E17" i="45"/>
  <c r="F17" i="45" s="1"/>
  <c r="F27" i="45"/>
  <c r="F22" i="45"/>
  <c r="F14" i="45"/>
  <c r="E14" i="45"/>
  <c r="E113" i="45"/>
  <c r="E65" i="45"/>
  <c r="E60" i="45"/>
  <c r="F111" i="45"/>
  <c r="F105" i="45"/>
  <c r="F103" i="45"/>
  <c r="F96" i="45"/>
  <c r="F113" i="45" s="1"/>
  <c r="F90" i="45"/>
  <c r="F83" i="45"/>
  <c r="F76" i="45"/>
  <c r="F65" i="45"/>
  <c r="F70" i="45"/>
  <c r="F60" i="45"/>
  <c r="F124" i="45"/>
  <c r="D124" i="45"/>
  <c r="D130" i="45" s="1"/>
  <c r="F6" i="45"/>
  <c r="E130" i="45"/>
  <c r="F130" i="45"/>
  <c r="F123" i="45"/>
  <c r="E124" i="45"/>
  <c r="E123" i="45"/>
  <c r="E6" i="45"/>
  <c r="F5" i="45"/>
  <c r="E5" i="45"/>
  <c r="F11" i="45"/>
  <c r="E11" i="45"/>
  <c r="F20" i="45" l="1"/>
  <c r="F35" i="45" s="1"/>
  <c r="F39" i="45" s="1"/>
  <c r="F51" i="45" s="1"/>
  <c r="C59" i="36"/>
  <c r="D49" i="62"/>
  <c r="C64" i="62" l="1"/>
  <c r="C18" i="66" l="1"/>
  <c r="B18" i="66"/>
  <c r="H17" i="66"/>
  <c r="F17" i="66"/>
  <c r="H16" i="66"/>
  <c r="F16" i="66"/>
  <c r="H15" i="66"/>
  <c r="F15" i="66"/>
  <c r="I15" i="66" s="1"/>
  <c r="H14" i="66"/>
  <c r="F14" i="66"/>
  <c r="H13" i="66"/>
  <c r="F13" i="66"/>
  <c r="H12" i="66"/>
  <c r="F12" i="66"/>
  <c r="H11" i="66"/>
  <c r="F11" i="66"/>
  <c r="H10" i="66"/>
  <c r="F10" i="66"/>
  <c r="H9" i="66"/>
  <c r="F9" i="66"/>
  <c r="H8" i="66"/>
  <c r="F8" i="66"/>
  <c r="H7" i="66"/>
  <c r="F7" i="66"/>
  <c r="H6" i="66"/>
  <c r="F6" i="66"/>
  <c r="I8" i="66" l="1"/>
  <c r="J8" i="66" s="1"/>
  <c r="I10" i="66"/>
  <c r="J10" i="66" s="1"/>
  <c r="I12" i="66"/>
  <c r="I11" i="66"/>
  <c r="J11" i="66" s="1"/>
  <c r="I16" i="66"/>
  <c r="F18" i="66"/>
  <c r="I9" i="66"/>
  <c r="I13" i="66"/>
  <c r="I7" i="66"/>
  <c r="I14" i="66"/>
  <c r="J14" i="66" s="1"/>
  <c r="I17" i="66"/>
  <c r="J15" i="66"/>
  <c r="J13" i="66"/>
  <c r="H18" i="66"/>
  <c r="G18" i="66" s="1"/>
  <c r="J12" i="66"/>
  <c r="I6" i="66"/>
  <c r="J16" i="66" l="1"/>
  <c r="J7" i="66"/>
  <c r="J9" i="66"/>
  <c r="J17" i="66"/>
  <c r="J6" i="66"/>
  <c r="I18" i="66"/>
  <c r="J18" i="66" l="1"/>
  <c r="E32" i="36" l="1"/>
  <c r="G32" i="36" s="1"/>
  <c r="C149" i="45" l="1"/>
  <c r="C139" i="45"/>
  <c r="C171" i="45" s="1"/>
  <c r="C151" i="45"/>
  <c r="S38" i="40"/>
  <c r="S35" i="40"/>
  <c r="S32" i="40" l="1"/>
  <c r="J13" i="46"/>
  <c r="J11" i="46" s="1"/>
  <c r="J49" i="46"/>
  <c r="J37" i="46"/>
  <c r="D20" i="45"/>
  <c r="D103" i="45"/>
  <c r="D105" i="45"/>
  <c r="J6" i="46"/>
  <c r="D83" i="45" l="1"/>
  <c r="D76" i="45"/>
  <c r="D111" i="45"/>
  <c r="D22" i="45"/>
  <c r="D96" i="45"/>
  <c r="D70" i="45" l="1"/>
  <c r="D65" i="45" s="1"/>
  <c r="D90" i="45"/>
  <c r="D60" i="45"/>
  <c r="D113" i="45" s="1"/>
  <c r="R46" i="40" l="1"/>
  <c r="R44" i="40"/>
  <c r="R28" i="40"/>
  <c r="R21" i="40"/>
  <c r="S21" i="40" l="1"/>
  <c r="R35" i="40"/>
  <c r="R38" i="40" s="1"/>
  <c r="S28" i="40"/>
  <c r="S13" i="40"/>
  <c r="H29" i="46" l="1"/>
  <c r="H13" i="46"/>
  <c r="I68" i="46" l="1"/>
  <c r="I5" i="46"/>
  <c r="I40" i="46" s="1"/>
  <c r="J63" i="46"/>
  <c r="I63" i="46"/>
  <c r="S46" i="40"/>
  <c r="U45" i="40"/>
  <c r="Q46" i="40"/>
  <c r="Q45" i="40"/>
  <c r="P35" i="40"/>
  <c r="I46" i="40"/>
  <c r="I45" i="40"/>
  <c r="M46" i="40"/>
  <c r="M45" i="40"/>
  <c r="J35" i="46"/>
  <c r="J30" i="46"/>
  <c r="U43" i="40"/>
  <c r="T38" i="40"/>
  <c r="U35" i="40"/>
  <c r="U34" i="40"/>
  <c r="U33" i="40"/>
  <c r="U32" i="40"/>
  <c r="U31" i="40"/>
  <c r="U30" i="40"/>
  <c r="U28" i="40"/>
  <c r="U25" i="40"/>
  <c r="U24" i="40"/>
  <c r="U23" i="40"/>
  <c r="U21" i="40"/>
  <c r="U20" i="40"/>
  <c r="U18" i="40"/>
  <c r="U16" i="40"/>
  <c r="U15" i="40"/>
  <c r="U14" i="40"/>
  <c r="U13" i="40"/>
  <c r="U11" i="40"/>
  <c r="U10" i="40"/>
  <c r="U8" i="40"/>
  <c r="U7" i="40"/>
  <c r="U38" i="40" l="1"/>
  <c r="T44" i="40"/>
  <c r="J40" i="46"/>
  <c r="J68" i="46" s="1"/>
  <c r="H9" i="60"/>
  <c r="I9" i="60" s="1"/>
  <c r="J9" i="60" s="1"/>
  <c r="C23" i="60"/>
  <c r="B23" i="60"/>
  <c r="H22" i="60"/>
  <c r="F22" i="60"/>
  <c r="H21" i="60"/>
  <c r="F21" i="60"/>
  <c r="H20" i="60"/>
  <c r="F20" i="60"/>
  <c r="H19" i="60"/>
  <c r="F19" i="60"/>
  <c r="H18" i="60"/>
  <c r="I18" i="60" s="1"/>
  <c r="J18" i="60" s="1"/>
  <c r="H17" i="60"/>
  <c r="F17" i="60"/>
  <c r="H16" i="60"/>
  <c r="I16" i="60" s="1"/>
  <c r="J16" i="60" s="1"/>
  <c r="H15" i="60"/>
  <c r="F15" i="60"/>
  <c r="H14" i="60"/>
  <c r="I14" i="60" s="1"/>
  <c r="J14" i="60" s="1"/>
  <c r="H13" i="60"/>
  <c r="F13" i="60"/>
  <c r="H12" i="60"/>
  <c r="F12" i="60"/>
  <c r="H11" i="60"/>
  <c r="F11" i="60"/>
  <c r="H10" i="60"/>
  <c r="F10" i="60"/>
  <c r="H8" i="60"/>
  <c r="F8" i="60"/>
  <c r="H7" i="60"/>
  <c r="F7" i="60"/>
  <c r="T46" i="40" l="1"/>
  <c r="U44" i="40"/>
  <c r="I8" i="60"/>
  <c r="J8" i="60" s="1"/>
  <c r="I10" i="60"/>
  <c r="J10" i="60" s="1"/>
  <c r="I12" i="60"/>
  <c r="J12" i="60" s="1"/>
  <c r="I17" i="60"/>
  <c r="J17" i="60" s="1"/>
  <c r="I7" i="60"/>
  <c r="J7" i="60" s="1"/>
  <c r="I15" i="60"/>
  <c r="J15" i="60" s="1"/>
  <c r="I11" i="60"/>
  <c r="J11" i="60" s="1"/>
  <c r="I13" i="60"/>
  <c r="J13" i="60" s="1"/>
  <c r="I19" i="60"/>
  <c r="J19" i="60" s="1"/>
  <c r="F23" i="60"/>
  <c r="H23" i="60"/>
  <c r="I20" i="60"/>
  <c r="J20" i="60" s="1"/>
  <c r="I22" i="60"/>
  <c r="J22" i="60" s="1"/>
  <c r="I21" i="60"/>
  <c r="J21" i="60" s="1"/>
  <c r="U46" i="40" l="1"/>
  <c r="J23" i="60"/>
  <c r="I23" i="60"/>
  <c r="G22" i="59" l="1"/>
  <c r="C22" i="59"/>
  <c r="B22" i="59"/>
  <c r="H21" i="59"/>
  <c r="J21" i="59" s="1"/>
  <c r="D21" i="59"/>
  <c r="B21" i="59"/>
  <c r="H20" i="59"/>
  <c r="D20" i="59"/>
  <c r="J20" i="59" s="1"/>
  <c r="B20" i="59"/>
  <c r="K19" i="59"/>
  <c r="J19" i="59"/>
  <c r="L19" i="59" s="1"/>
  <c r="H19" i="59"/>
  <c r="D19" i="59"/>
  <c r="J18" i="59"/>
  <c r="H18" i="59"/>
  <c r="D18" i="59"/>
  <c r="B18" i="59"/>
  <c r="H17" i="59"/>
  <c r="D17" i="59"/>
  <c r="J17" i="59" s="1"/>
  <c r="B17" i="59"/>
  <c r="J16" i="59"/>
  <c r="H16" i="59"/>
  <c r="D16" i="59"/>
  <c r="B16" i="59"/>
  <c r="H15" i="59"/>
  <c r="D15" i="59"/>
  <c r="J15" i="59" s="1"/>
  <c r="B15" i="59"/>
  <c r="J14" i="59"/>
  <c r="H14" i="59"/>
  <c r="D14" i="59"/>
  <c r="B14" i="59"/>
  <c r="H13" i="59"/>
  <c r="D13" i="59"/>
  <c r="J13" i="59" s="1"/>
  <c r="B13" i="59"/>
  <c r="J12" i="59"/>
  <c r="H12" i="59"/>
  <c r="D12" i="59"/>
  <c r="B12" i="59"/>
  <c r="H11" i="59"/>
  <c r="D11" i="59"/>
  <c r="J11" i="59" s="1"/>
  <c r="B11" i="59"/>
  <c r="J10" i="59"/>
  <c r="H10" i="59"/>
  <c r="H22" i="59" s="1"/>
  <c r="D10" i="59"/>
  <c r="D22" i="59" s="1"/>
  <c r="E22" i="59" s="1"/>
  <c r="B10" i="59"/>
  <c r="K17" i="59" l="1"/>
  <c r="L17" i="59"/>
  <c r="J22" i="59"/>
  <c r="K15" i="59"/>
  <c r="L15" i="59"/>
  <c r="L18" i="59"/>
  <c r="K13" i="59"/>
  <c r="L13" i="59"/>
  <c r="L16" i="59"/>
  <c r="K11" i="59"/>
  <c r="L11" i="59" s="1"/>
  <c r="L14" i="59"/>
  <c r="K20" i="59"/>
  <c r="L20" i="59" s="1"/>
  <c r="K21" i="59"/>
  <c r="L21" i="59" s="1"/>
  <c r="K10" i="59"/>
  <c r="K12" i="59"/>
  <c r="L12" i="59" s="1"/>
  <c r="K14" i="59"/>
  <c r="K16" i="59"/>
  <c r="K18" i="59"/>
  <c r="L10" i="59"/>
  <c r="L22" i="59" l="1"/>
  <c r="K22" i="59"/>
  <c r="H41" i="7" l="1"/>
  <c r="H46" i="7"/>
  <c r="H45" i="7"/>
  <c r="H44" i="7"/>
  <c r="H43" i="7"/>
  <c r="H40" i="7"/>
  <c r="H39" i="7"/>
  <c r="H38" i="7"/>
  <c r="H37" i="7"/>
  <c r="H36" i="7"/>
  <c r="H33" i="7"/>
  <c r="H32" i="7"/>
  <c r="H47" i="64"/>
  <c r="H46" i="64"/>
  <c r="H45" i="64"/>
  <c r="H48" i="64" s="1"/>
  <c r="H44" i="64"/>
  <c r="H38" i="64"/>
  <c r="H37" i="64"/>
  <c r="H34" i="64"/>
  <c r="H33" i="64"/>
  <c r="H40" i="64"/>
  <c r="H32" i="64"/>
  <c r="H30" i="64"/>
  <c r="H29" i="64"/>
  <c r="H28" i="64"/>
  <c r="H27" i="64"/>
  <c r="H26" i="64"/>
  <c r="H25" i="64"/>
  <c r="H24" i="64"/>
  <c r="H23" i="64"/>
  <c r="H22" i="64"/>
  <c r="H21" i="64"/>
  <c r="H20" i="64"/>
  <c r="H19" i="64"/>
  <c r="H31" i="64" s="1"/>
  <c r="H18" i="64"/>
  <c r="H17" i="64"/>
  <c r="H16" i="64"/>
  <c r="H15" i="64"/>
  <c r="H14" i="64"/>
  <c r="H13" i="64"/>
  <c r="H12" i="64"/>
  <c r="H11" i="64"/>
  <c r="B10" i="64"/>
  <c r="D10" i="64" s="1"/>
  <c r="E10" i="64" s="1"/>
  <c r="F10" i="64" s="1"/>
  <c r="G10" i="64" s="1"/>
  <c r="E58" i="36" l="1"/>
  <c r="G58" i="36" s="1"/>
  <c r="E57" i="36"/>
  <c r="G57" i="36" s="1"/>
  <c r="E56" i="36"/>
  <c r="G56" i="36" s="1"/>
  <c r="E55" i="36"/>
  <c r="G55" i="36" s="1"/>
  <c r="E54" i="36"/>
  <c r="G54" i="36" s="1"/>
  <c r="E53" i="36"/>
  <c r="G53" i="36" s="1"/>
  <c r="E52" i="36"/>
  <c r="G52" i="36" s="1"/>
  <c r="E51" i="36"/>
  <c r="G51" i="36" s="1"/>
  <c r="E50" i="36"/>
  <c r="G50" i="36" s="1"/>
  <c r="E49" i="36"/>
  <c r="G49" i="36" s="1"/>
  <c r="E48" i="36"/>
  <c r="G48" i="36" s="1"/>
  <c r="E47" i="36"/>
  <c r="G47" i="36" s="1"/>
  <c r="E59" i="36" l="1"/>
  <c r="G59" i="36" s="1"/>
  <c r="D54" i="62" l="1"/>
  <c r="D40" i="62"/>
  <c r="C40" i="62"/>
  <c r="E10" i="61"/>
  <c r="E9" i="61"/>
  <c r="E8" i="61"/>
  <c r="E7" i="61"/>
  <c r="D69" i="62" l="1"/>
  <c r="C69" i="62"/>
  <c r="E11" i="61"/>
  <c r="Q43" i="40"/>
  <c r="Q37" i="40"/>
  <c r="Q36" i="40"/>
  <c r="Q35" i="40"/>
  <c r="Q34" i="40"/>
  <c r="Q33" i="40"/>
  <c r="Q32" i="40"/>
  <c r="Q31" i="40"/>
  <c r="Q30" i="40"/>
  <c r="Q28" i="40"/>
  <c r="Q25" i="40"/>
  <c r="Q24" i="40"/>
  <c r="Q23" i="40"/>
  <c r="Q21" i="40"/>
  <c r="Q20" i="40"/>
  <c r="Q18" i="40"/>
  <c r="Q16" i="40"/>
  <c r="Q15" i="40"/>
  <c r="Q14" i="40"/>
  <c r="Q13" i="40"/>
  <c r="Q10" i="40"/>
  <c r="Q8" i="40"/>
  <c r="Q7" i="40"/>
  <c r="P38" i="40"/>
  <c r="P44" i="40" s="1"/>
  <c r="Q44" i="40" s="1"/>
  <c r="Q38" i="40" l="1"/>
  <c r="E14" i="16" l="1"/>
  <c r="D24" i="16" l="1"/>
  <c r="D18" i="16"/>
  <c r="D21" i="16"/>
  <c r="D27" i="16"/>
  <c r="D30" i="16"/>
  <c r="D36" i="16" l="1"/>
  <c r="D37" i="16" s="1"/>
  <c r="D42" i="16" s="1"/>
  <c r="D43" i="16" s="1"/>
  <c r="H30" i="46"/>
  <c r="H35" i="46"/>
  <c r="H16" i="46"/>
  <c r="H11" i="46" s="1"/>
  <c r="H40" i="46" s="1"/>
  <c r="H5" i="46"/>
  <c r="H8" i="46"/>
  <c r="D136" i="45" l="1"/>
  <c r="D139" i="45" l="1"/>
  <c r="D151" i="45"/>
  <c r="D171" i="45" l="1"/>
  <c r="D27" i="45"/>
  <c r="D11" i="45"/>
  <c r="C27" i="45"/>
  <c r="C20" i="45" s="1"/>
  <c r="C11" i="45"/>
  <c r="H49" i="46"/>
  <c r="H63" i="46" s="1"/>
  <c r="G49" i="46"/>
  <c r="G63" i="46" s="1"/>
  <c r="G68" i="46" s="1"/>
  <c r="G40" i="46"/>
  <c r="C35" i="45" l="1"/>
  <c r="C39" i="45" s="1"/>
  <c r="H68" i="46"/>
  <c r="E30" i="16" l="1"/>
  <c r="E21" i="16"/>
  <c r="E18" i="16"/>
  <c r="E27" i="16" l="1"/>
  <c r="E24" i="16"/>
  <c r="D35" i="45"/>
  <c r="E36" i="16" l="1"/>
  <c r="E37" i="16" s="1"/>
  <c r="E42" i="16" s="1"/>
  <c r="E43" i="16" s="1"/>
  <c r="D39" i="45"/>
  <c r="D51" i="45" l="1"/>
  <c r="M43" i="40" l="1"/>
  <c r="L21" i="40"/>
  <c r="L13" i="40"/>
  <c r="F24" i="46"/>
  <c r="F16" i="46"/>
  <c r="F49" i="46"/>
  <c r="E49" i="46"/>
  <c r="F30" i="46"/>
  <c r="L35" i="40" l="1"/>
  <c r="L38" i="40" s="1"/>
  <c r="L44" i="40" s="1"/>
  <c r="M44" i="40" s="1"/>
  <c r="F13" i="46"/>
  <c r="F6" i="46"/>
  <c r="C40" i="46" l="1"/>
  <c r="D11" i="46"/>
  <c r="D8" i="46"/>
  <c r="D5" i="46"/>
  <c r="D40" i="46" l="1"/>
  <c r="D63" i="46" l="1"/>
  <c r="D68" i="46" s="1"/>
  <c r="C63" i="46"/>
  <c r="C68" i="46" s="1"/>
  <c r="E40" i="46"/>
  <c r="M38" i="40"/>
  <c r="M37" i="40"/>
  <c r="M36" i="40"/>
  <c r="M35" i="40"/>
  <c r="M34" i="40"/>
  <c r="M33" i="40"/>
  <c r="M32" i="40"/>
  <c r="M31" i="40"/>
  <c r="M30" i="40"/>
  <c r="M29" i="40"/>
  <c r="M28" i="40"/>
  <c r="M27" i="40"/>
  <c r="M26" i="40"/>
  <c r="M25" i="40"/>
  <c r="M24" i="40"/>
  <c r="M23" i="40"/>
  <c r="M22" i="40"/>
  <c r="M21" i="40"/>
  <c r="M20" i="40"/>
  <c r="M19" i="40"/>
  <c r="M18" i="40"/>
  <c r="M17" i="40"/>
  <c r="M16" i="40"/>
  <c r="M15" i="40"/>
  <c r="M14" i="40"/>
  <c r="M13" i="40"/>
  <c r="M12" i="40"/>
  <c r="M11" i="40"/>
  <c r="M10" i="40"/>
  <c r="M9" i="40"/>
  <c r="M8" i="40"/>
  <c r="M7" i="40" l="1"/>
  <c r="I44" i="40"/>
  <c r="I43" i="40"/>
  <c r="I42" i="40"/>
  <c r="I41" i="40"/>
  <c r="I40" i="40"/>
  <c r="I39" i="40"/>
  <c r="I38" i="40"/>
  <c r="I37" i="40"/>
  <c r="I36" i="40"/>
  <c r="I35" i="40"/>
  <c r="I34" i="40"/>
  <c r="I33" i="40"/>
  <c r="I32" i="40"/>
  <c r="I31" i="40"/>
  <c r="I30" i="40"/>
  <c r="I29" i="40"/>
  <c r="I28" i="40"/>
  <c r="I27" i="40"/>
  <c r="I26" i="40"/>
  <c r="I25" i="40"/>
  <c r="I24" i="40"/>
  <c r="I23" i="40"/>
  <c r="I22" i="40"/>
  <c r="I21" i="40"/>
  <c r="I20" i="40"/>
  <c r="I19" i="40"/>
  <c r="I18" i="40"/>
  <c r="I17" i="40"/>
  <c r="I16" i="40"/>
  <c r="I15" i="40"/>
  <c r="I14" i="40"/>
  <c r="I13" i="40"/>
  <c r="I12" i="40"/>
  <c r="I11" i="40"/>
  <c r="I10" i="40"/>
  <c r="I9" i="40"/>
  <c r="I8" i="40"/>
  <c r="I7" i="40"/>
  <c r="E43" i="40" l="1"/>
  <c r="E42" i="40"/>
  <c r="E41" i="40"/>
  <c r="E40" i="40"/>
  <c r="E39" i="40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3" i="40"/>
  <c r="E22" i="40"/>
  <c r="E20" i="40"/>
  <c r="E19" i="40"/>
  <c r="E18" i="40"/>
  <c r="E17" i="40"/>
  <c r="E16" i="40"/>
  <c r="E15" i="40"/>
  <c r="E14" i="40"/>
  <c r="E12" i="40"/>
  <c r="E11" i="40"/>
  <c r="E10" i="40"/>
  <c r="E9" i="40"/>
  <c r="E8" i="40"/>
  <c r="E7" i="40"/>
  <c r="G52" i="6"/>
  <c r="F11" i="46" l="1"/>
  <c r="F63" i="46"/>
  <c r="E63" i="46" l="1"/>
  <c r="E68" i="46" s="1"/>
  <c r="C130" i="45" l="1"/>
  <c r="C113" i="45"/>
  <c r="C51" i="45" l="1"/>
  <c r="D21" i="40" l="1"/>
  <c r="E21" i="40" s="1"/>
  <c r="D44" i="40" l="1"/>
  <c r="E44" i="40" s="1"/>
  <c r="D13" i="40"/>
  <c r="E13" i="40" s="1"/>
  <c r="E10" i="36" l="1"/>
  <c r="E21" i="36"/>
  <c r="E20" i="36"/>
  <c r="E19" i="36"/>
  <c r="E18" i="36"/>
  <c r="E17" i="36"/>
  <c r="E16" i="36"/>
  <c r="E15" i="36"/>
  <c r="E14" i="36"/>
  <c r="E13" i="36"/>
  <c r="E12" i="36"/>
  <c r="E11" i="36"/>
  <c r="E22" i="36" l="1"/>
  <c r="E36" i="36" s="1"/>
  <c r="H31" i="7" l="1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B9" i="7"/>
  <c r="D9" i="7" s="1"/>
  <c r="E9" i="7" s="1"/>
  <c r="F9" i="7" s="1"/>
  <c r="G9" i="7" s="1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53" i="6" s="1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B8" i="6"/>
  <c r="C8" i="6" s="1"/>
  <c r="D8" i="6" s="1"/>
  <c r="E8" i="6" s="1"/>
  <c r="F8" i="6" s="1"/>
  <c r="G54" i="6" l="1"/>
  <c r="H47" i="7"/>
  <c r="H30" i="7"/>
  <c r="G51" i="6"/>
  <c r="F5" i="46" l="1"/>
  <c r="F40" i="46" l="1"/>
  <c r="F68" i="46" s="1"/>
</calcChain>
</file>

<file path=xl/sharedStrings.xml><?xml version="1.0" encoding="utf-8"?>
<sst xmlns="http://schemas.openxmlformats.org/spreadsheetml/2006/main" count="1271" uniqueCount="631">
  <si>
    <t>Экономист</t>
  </si>
  <si>
    <t>1.</t>
  </si>
  <si>
    <t>2.</t>
  </si>
  <si>
    <t>3.</t>
  </si>
  <si>
    <t>7.</t>
  </si>
  <si>
    <t>Единица измерения</t>
  </si>
  <si>
    <t>км</t>
  </si>
  <si>
    <t>чел.</t>
  </si>
  <si>
    <t>Итого</t>
  </si>
  <si>
    <t>№ п.п.</t>
  </si>
  <si>
    <t>Наименование</t>
  </si>
  <si>
    <t xml:space="preserve">Напряжение, кВ </t>
  </si>
  <si>
    <t>Количество условных единиц (у) на единицу измерения</t>
  </si>
  <si>
    <t>Количество единиц измерения</t>
  </si>
  <si>
    <t>Объем условных единиц</t>
  </si>
  <si>
    <t>у/ед.изм.</t>
  </si>
  <si>
    <t>ед.изм.</t>
  </si>
  <si>
    <t>у</t>
  </si>
  <si>
    <t>L1</t>
  </si>
  <si>
    <t>L2</t>
  </si>
  <si>
    <t>L3</t>
  </si>
  <si>
    <t>7=5*6</t>
  </si>
  <si>
    <t>Подстанция</t>
  </si>
  <si>
    <t>П/ст</t>
  </si>
  <si>
    <t>400-500</t>
  </si>
  <si>
    <t>110-150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</si>
  <si>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</si>
  <si>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</si>
  <si>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>1-20</t>
  </si>
  <si>
    <t>Воздушный выключатель</t>
  </si>
  <si>
    <t>3 фазы</t>
  </si>
  <si>
    <t>Масляный (вакуумный) выключатель</t>
  </si>
  <si>
    <t xml:space="preserve"> - " -</t>
  </si>
  <si>
    <t>Отделитель с короткозамыкателем</t>
  </si>
  <si>
    <t>Выключатель нагрузки</t>
  </si>
  <si>
    <t>Синхронный компенсатор мощн. до 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</si>
  <si>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</si>
  <si>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</si>
  <si>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</si>
  <si>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</si>
  <si>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</si>
  <si>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Однотрансфор-маторная ТП, КТП</t>
  </si>
  <si>
    <t>ТП, КТП</t>
  </si>
  <si>
    <t>Двухтрансформаторная ТП, КТП</t>
  </si>
  <si>
    <t xml:space="preserve">Однотрансфор-маторная подстанция 34/0,4 кВ </t>
  </si>
  <si>
    <t>п/ст</t>
  </si>
  <si>
    <t>14.</t>
  </si>
  <si>
    <t>ВН</t>
  </si>
  <si>
    <t>СН1</t>
  </si>
  <si>
    <t>СН2</t>
  </si>
  <si>
    <t>НН</t>
  </si>
  <si>
    <t>ЛЭП</t>
  </si>
  <si>
    <t>Количество цепей на опоре</t>
  </si>
  <si>
    <t>Материал опор</t>
  </si>
  <si>
    <t>Количество условных единиц (у) на 100 км трассы ЛЭП</t>
  </si>
  <si>
    <t>Протяженность</t>
  </si>
  <si>
    <t>у/100км</t>
  </si>
  <si>
    <t>7 = 5 * 6 /100</t>
  </si>
  <si>
    <t>ВЛЭП</t>
  </si>
  <si>
    <t>-</t>
  </si>
  <si>
    <t>металл</t>
  </si>
  <si>
    <t>400_500</t>
  </si>
  <si>
    <t>ж/бетон</t>
  </si>
  <si>
    <t>дерево</t>
  </si>
  <si>
    <t>110_150</t>
  </si>
  <si>
    <t>КЛЭП</t>
  </si>
  <si>
    <t xml:space="preserve">ВН, всего </t>
  </si>
  <si>
    <t xml:space="preserve"> 1 - 20 </t>
  </si>
  <si>
    <t xml:space="preserve">1_20 </t>
  </si>
  <si>
    <t>дерево на ж/б пасынках</t>
  </si>
  <si>
    <t>ж/бетон, металл</t>
  </si>
  <si>
    <t xml:space="preserve"> 20 -35</t>
  </si>
  <si>
    <t>20_35</t>
  </si>
  <si>
    <t xml:space="preserve"> 3 - 10</t>
  </si>
  <si>
    <t xml:space="preserve"> 3_10</t>
  </si>
  <si>
    <t>СН-1, всего</t>
  </si>
  <si>
    <t>СН-2, всего</t>
  </si>
  <si>
    <t xml:space="preserve">0,4 кВ </t>
  </si>
  <si>
    <t>0,4</t>
  </si>
  <si>
    <t xml:space="preserve">до 1 кВ </t>
  </si>
  <si>
    <t xml:space="preserve">_1 </t>
  </si>
  <si>
    <t>НН, всего</t>
  </si>
  <si>
    <t xml:space="preserve">Объем воздушных линий электропередач (ВЛЭП) и кабельных линий электропередач (КЛЭП) в условных единицах в зависимост от протяженности, напряжения, конструктивного использования и материала опор. </t>
  </si>
  <si>
    <t xml:space="preserve">Объем подстанций 35-1150 кВ, трансформаторных подстанций (ТП), комплексных трансформаторных подстанций (КТП) и распределительных пунктов(РП) 0,4-20 кВ в условных единицах. </t>
  </si>
  <si>
    <t>Таблица №2.2</t>
  </si>
  <si>
    <t>таблица 2.1</t>
  </si>
  <si>
    <t>п.п.</t>
  </si>
  <si>
    <t>Показатели</t>
  </si>
  <si>
    <t>Всего</t>
  </si>
  <si>
    <t>4.</t>
  </si>
  <si>
    <t>МУП "Электросеть"</t>
  </si>
  <si>
    <t>Наименование показателя</t>
  </si>
  <si>
    <t>Командировочные расходы</t>
  </si>
  <si>
    <t>5.</t>
  </si>
  <si>
    <t>Услуги связи</t>
  </si>
  <si>
    <t>6.</t>
  </si>
  <si>
    <t>8.</t>
  </si>
  <si>
    <t>9.</t>
  </si>
  <si>
    <t>10.</t>
  </si>
  <si>
    <t>11.</t>
  </si>
  <si>
    <t>№</t>
  </si>
  <si>
    <t>Ед. измер.</t>
  </si>
  <si>
    <t xml:space="preserve">Численность </t>
  </si>
  <si>
    <t xml:space="preserve">Численность ППП </t>
  </si>
  <si>
    <t>Средняя оплата труда</t>
  </si>
  <si>
    <t>2.1.</t>
  </si>
  <si>
    <t xml:space="preserve">Тарифная ставка рабочего 1 разряда </t>
  </si>
  <si>
    <t>руб.</t>
  </si>
  <si>
    <t>2.2.</t>
  </si>
  <si>
    <t>Дефлятор по заработной плате</t>
  </si>
  <si>
    <t>2.3.</t>
  </si>
  <si>
    <t xml:space="preserve">Среднемесячная тарифная ставка 1-го ППП </t>
  </si>
  <si>
    <t>2.4.</t>
  </si>
  <si>
    <t xml:space="preserve">Средняя ступень оплаты </t>
  </si>
  <si>
    <t>2.5.</t>
  </si>
  <si>
    <t>Тарифный коэффициент, соответствующий ступени по оплате труда</t>
  </si>
  <si>
    <t>2.6.</t>
  </si>
  <si>
    <t>Среднемесячная тарифная ставка ППП с учетом дефлятора</t>
  </si>
  <si>
    <t>2.7.</t>
  </si>
  <si>
    <t>Выплаты, связанные с режимом работы, с условиями труда 1 работника</t>
  </si>
  <si>
    <t>2.7.1.</t>
  </si>
  <si>
    <t>процент выплаты</t>
  </si>
  <si>
    <t>%</t>
  </si>
  <si>
    <t>2.7.2.</t>
  </si>
  <si>
    <t>сумма выплат</t>
  </si>
  <si>
    <t>2.8.</t>
  </si>
  <si>
    <t>Текущее премирование</t>
  </si>
  <si>
    <t>2.8.1.</t>
  </si>
  <si>
    <t>2.8.2.</t>
  </si>
  <si>
    <t>2.9.</t>
  </si>
  <si>
    <t>Прочие выплаты ()</t>
  </si>
  <si>
    <t>2.9.1.</t>
  </si>
  <si>
    <t>2.9.2.</t>
  </si>
  <si>
    <t>Прочие выплаты</t>
  </si>
  <si>
    <t>2.10.</t>
  </si>
  <si>
    <t>Вознаграждение за выслугу лет</t>
  </si>
  <si>
    <t>2.10.1.</t>
  </si>
  <si>
    <t>2.10.2.</t>
  </si>
  <si>
    <t>2.11.</t>
  </si>
  <si>
    <t>Выплаты по итогам года</t>
  </si>
  <si>
    <t>2.11.1.</t>
  </si>
  <si>
    <t>2.11.2.</t>
  </si>
  <si>
    <t>2.12.</t>
  </si>
  <si>
    <t>Выплаты по районному коэффициенту и северным надбавкам</t>
  </si>
  <si>
    <t>2.12.1.</t>
  </si>
  <si>
    <t>2.12.2.</t>
  </si>
  <si>
    <t>2.13.</t>
  </si>
  <si>
    <t>Итого среднемесячная оплата труда на 1 работника</t>
  </si>
  <si>
    <t xml:space="preserve">3. </t>
  </si>
  <si>
    <t>Расчет средств на оплату труда ППП (включенного в себестоимость)</t>
  </si>
  <si>
    <t>3.1.</t>
  </si>
  <si>
    <t>тыс.руб.</t>
  </si>
  <si>
    <t>3.2.</t>
  </si>
  <si>
    <t>3.3.</t>
  </si>
  <si>
    <t>Итого средств на оплату труда ППП</t>
  </si>
  <si>
    <t>Ср.месячная заработная плата с учетом проезда в отпуск</t>
  </si>
  <si>
    <t>Рост ср.мес.зарплаты к учтенной в тарифе</t>
  </si>
  <si>
    <t>Сырье, основные материалы</t>
  </si>
  <si>
    <t>из них на ремонт</t>
  </si>
  <si>
    <t>Топливо на технологические цели</t>
  </si>
  <si>
    <t xml:space="preserve">Энергия </t>
  </si>
  <si>
    <t>5.1.</t>
  </si>
  <si>
    <t>электрическая</t>
  </si>
  <si>
    <t>5.2.</t>
  </si>
  <si>
    <t>тепловая</t>
  </si>
  <si>
    <t>Затраты на оплату труда</t>
  </si>
  <si>
    <t>Отчисления на социальные нужды</t>
  </si>
  <si>
    <t>Амортизация основных средств</t>
  </si>
  <si>
    <t>Прочие затраты всего , в том числе:</t>
  </si>
  <si>
    <t>9.1.</t>
  </si>
  <si>
    <t>9.2.</t>
  </si>
  <si>
    <t>9.3.</t>
  </si>
  <si>
    <t>Плата за предельно допустимые выбросы (сбросы)</t>
  </si>
  <si>
    <t>9.7.</t>
  </si>
  <si>
    <t>Непроизводственные расходы (налоги и другие обязательные платежи и сборы)</t>
  </si>
  <si>
    <t>9.7.1.</t>
  </si>
  <si>
    <t>Налог на землю</t>
  </si>
  <si>
    <t>9.7.2.</t>
  </si>
  <si>
    <t>Налог транспортный</t>
  </si>
  <si>
    <t>9.7.3.</t>
  </si>
  <si>
    <t>налог на имущество</t>
  </si>
  <si>
    <t>9.8.</t>
  </si>
  <si>
    <t xml:space="preserve"> </t>
  </si>
  <si>
    <t>Итого расходов</t>
  </si>
  <si>
    <t>Недополученный по независящим причинам доход</t>
  </si>
  <si>
    <t>12.</t>
  </si>
  <si>
    <t>Избыток средств, полученный в предыдущем периоде регулирования</t>
  </si>
  <si>
    <t>13.</t>
  </si>
  <si>
    <t xml:space="preserve">Расчетные расходы по производству продукции </t>
  </si>
  <si>
    <t>в том числе:</t>
  </si>
  <si>
    <t>13.1.</t>
  </si>
  <si>
    <t xml:space="preserve">   - электрическая энергия</t>
  </si>
  <si>
    <t>13.1.1.</t>
  </si>
  <si>
    <t>производство электроэнергии</t>
  </si>
  <si>
    <t>13.1.2.</t>
  </si>
  <si>
    <t>покупная электроэнергия</t>
  </si>
  <si>
    <t>13.1.3.</t>
  </si>
  <si>
    <t>передача электроэнергии без абонплаты</t>
  </si>
  <si>
    <t>13.2.</t>
  </si>
  <si>
    <t xml:space="preserve">   - тепловая энергия</t>
  </si>
  <si>
    <t>13.2.1.</t>
  </si>
  <si>
    <t>производство теплоэнергии</t>
  </si>
  <si>
    <t>13.2.2.</t>
  </si>
  <si>
    <t>покупная теплоэнергия</t>
  </si>
  <si>
    <t>13.2.3.</t>
  </si>
  <si>
    <t>передача теплоэнергии</t>
  </si>
  <si>
    <t>13.3.</t>
  </si>
  <si>
    <t xml:space="preserve">   - прочая продукция</t>
  </si>
  <si>
    <t>прибыль</t>
  </si>
  <si>
    <t>НВВ</t>
  </si>
  <si>
    <t>№ п/п</t>
  </si>
  <si>
    <t>ПОДКОНТРОЛЬНЫЕ РАСХОДЫ</t>
  </si>
  <si>
    <t>Расходы на оплату труда</t>
  </si>
  <si>
    <t>Прочие расходы, всего в том числе:</t>
  </si>
  <si>
    <t>Другие прочие расходы</t>
  </si>
  <si>
    <t>ИТОГО ПОДКОНТРОЛЬНЫЕ РАСХОДЫ</t>
  </si>
  <si>
    <t>Неподконтрольные расходы</t>
  </si>
  <si>
    <t>Прочие неподконтрольные расходы - всего</t>
  </si>
  <si>
    <t>услуги банка</t>
  </si>
  <si>
    <t>ИТОГО НЕПОДКОНРОЛЬНЫЕ РАСХОДЫ</t>
  </si>
  <si>
    <t xml:space="preserve"> Прибыль на развитие производства</t>
  </si>
  <si>
    <t>в том числе</t>
  </si>
  <si>
    <t xml:space="preserve">капитальные вложения </t>
  </si>
  <si>
    <t xml:space="preserve"> Прибыль на социальное развитие</t>
  </si>
  <si>
    <t>капитальные вложения</t>
  </si>
  <si>
    <t>доставка работников к месту работы</t>
  </si>
  <si>
    <t>оплата за лечение</t>
  </si>
  <si>
    <t>оплата путевок в санатории и лагеря</t>
  </si>
  <si>
    <t>резерв денежных средств на питание при ликвидации аварийных ситуаций</t>
  </si>
  <si>
    <t>оплата новогодних подарков</t>
  </si>
  <si>
    <t>проведение новогоднего утренника</t>
  </si>
  <si>
    <t>спецпитание работникам с вредными условиями труда</t>
  </si>
  <si>
    <t>выплата пособия матерям по уходу за детьми</t>
  </si>
  <si>
    <t>Прибыль на поощрение</t>
  </si>
  <si>
    <t>пособие при выходе на пенсию</t>
  </si>
  <si>
    <t>премирование к праздничным датам</t>
  </si>
  <si>
    <t>проведение  профессиональных праздников и вечеров</t>
  </si>
  <si>
    <t xml:space="preserve">оказание мат.помощи </t>
  </si>
  <si>
    <t>ритуальные услуги</t>
  </si>
  <si>
    <t>Дивиденды по акциям</t>
  </si>
  <si>
    <t>Прибыль на прочие цели</t>
  </si>
  <si>
    <t xml:space="preserve"> % за пользование  кредитом</t>
  </si>
  <si>
    <t>командировочные сверх нормы</t>
  </si>
  <si>
    <t>резервный фонд</t>
  </si>
  <si>
    <t>проездные без документов</t>
  </si>
  <si>
    <t>другие(проездные без документов)</t>
  </si>
  <si>
    <t>Прибыль, облагаемая налогом</t>
  </si>
  <si>
    <t>Налоги,сборы и платежи, всего</t>
  </si>
  <si>
    <t xml:space="preserve"> -на прибыль</t>
  </si>
  <si>
    <t xml:space="preserve">Прибыль (убыток)от товарной продукции, в том числе: </t>
  </si>
  <si>
    <t>приообретение подарков к юбилеям</t>
  </si>
  <si>
    <t xml:space="preserve">Ср.месячная заработная плата учтенная </t>
  </si>
  <si>
    <t>Работы и услуги производственного  характера</t>
  </si>
  <si>
    <t>Необходимая валовая выручка на содержание электрических сетей МУП "Электросеть"</t>
  </si>
  <si>
    <t>оплата проезда к месту отдыха иждевенцы дети</t>
  </si>
  <si>
    <t>"О государственных гарантиях и компенсациях для лиц  работающих и проживающих в районах крайнего севера и приравненных к ним местностях "</t>
  </si>
  <si>
    <t>Проезд в отпуск  1 раз в 2 года  согласно ФЗ №50 от 02.04.2014 года.</t>
  </si>
  <si>
    <t>Расчетный период</t>
  </si>
  <si>
    <t>Величина заявленной мощности МВ т</t>
  </si>
  <si>
    <t>Ставка руб. /МВт мес.</t>
  </si>
  <si>
    <t>Стоимость услуги по передаче  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</si>
  <si>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</si>
  <si>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</si>
  <si>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</si>
  <si>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</si>
  <si>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</si>
  <si>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</si>
  <si>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</si>
  <si>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</si>
  <si>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</si>
  <si>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</si>
  <si>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</si>
  <si>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</si>
  <si>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без НДС</t>
  </si>
  <si>
    <t>Норматив потерь э/э в сетях ФСК %</t>
  </si>
  <si>
    <t>Объем потерь э/э в сетях ФСК %</t>
  </si>
  <si>
    <t>Стоимость потерь э/э в рублях</t>
  </si>
  <si>
    <t xml:space="preserve">Плановая стоимость услуг по передаче электрической энергии </t>
  </si>
  <si>
    <t>ИТОГО</t>
  </si>
  <si>
    <t>Экономист МУП "Электросеть"                             Вернигорова А.Г.</t>
  </si>
  <si>
    <t>таб.1.16</t>
  </si>
  <si>
    <t>3</t>
  </si>
  <si>
    <t>А.Г.Вернигорова</t>
  </si>
  <si>
    <t>С-но специальной оценке условий труда</t>
  </si>
  <si>
    <t>ночные. с/урочные .праздничные</t>
  </si>
  <si>
    <t>учебный оттпуск,разъездной,б/лист</t>
  </si>
  <si>
    <t>ГСМ</t>
  </si>
  <si>
    <t>Смета расходов, связанных с передачей электрической энергии по сетям МУП "Электросеть"</t>
  </si>
  <si>
    <t>МУП Электросеть</t>
  </si>
  <si>
    <t>Вспомогательные материалы</t>
  </si>
  <si>
    <t>Средства на  страхование</t>
  </si>
  <si>
    <t>9.4.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</si>
  <si>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энергии(мощности), передаче электрической энергии апо единой национальной (общероссийской) электрической сети</t>
  </si>
  <si>
    <t>9.5.</t>
  </si>
  <si>
    <t>Отчисления в ремонтный фонд (в случае его формирования)</t>
  </si>
  <si>
    <t>9.6.</t>
  </si>
  <si>
    <t>Водный налог (ГЭС)</t>
  </si>
  <si>
    <t>Другие затраты, относимые на себестоимость продукции,всего</t>
  </si>
  <si>
    <t>в т.ч.</t>
  </si>
  <si>
    <t>9.8.1.</t>
  </si>
  <si>
    <t xml:space="preserve"> 9 мес.2014 год план</t>
  </si>
  <si>
    <t>Комитет по Ценам</t>
  </si>
  <si>
    <t xml:space="preserve"> 9 мес.2014 год факт</t>
  </si>
  <si>
    <t>Транспортный налог</t>
  </si>
  <si>
    <t>Налог на имущество</t>
  </si>
  <si>
    <t>Расходы на оплату услуг связи</t>
  </si>
  <si>
    <t>Расходы на информационные услуги</t>
  </si>
  <si>
    <t>Расходы на вневедомственную охрану</t>
  </si>
  <si>
    <t>Подготовка кадров(семинары, курсы)</t>
  </si>
  <si>
    <t>Вывоз мусора</t>
  </si>
  <si>
    <t>Коммунальное хозяйство( долевое участие в содержании и ремонте общедомового имущества)</t>
  </si>
  <si>
    <t>Проведение медосмотров</t>
  </si>
  <si>
    <t>Расшифровка по материалам и прочим материалам</t>
  </si>
  <si>
    <t>Вспомогательные материалы, в том числе</t>
  </si>
  <si>
    <t>Запасные части для транспортного средства</t>
  </si>
  <si>
    <t>Расходы на приборы учета</t>
  </si>
  <si>
    <t>Расходы на ГСМ</t>
  </si>
  <si>
    <t>Другие затраты :Спецодежда</t>
  </si>
  <si>
    <t>Анализ экономической обоснованности величины расходов из прибыли</t>
  </si>
  <si>
    <t>финансовый результат</t>
  </si>
  <si>
    <t>Аренда спецтехники</t>
  </si>
  <si>
    <t>всего</t>
  </si>
  <si>
    <t>Целевые средства на НИОКР(расчет потерь, энергоаудит, инвестиционная программа)</t>
  </si>
  <si>
    <t xml:space="preserve">2016 год </t>
  </si>
  <si>
    <t>Расшифровка по другим затратам, относимым на себестоимость продукции (п.9.8.)</t>
  </si>
  <si>
    <t>Средства на  страхование автотехники</t>
  </si>
  <si>
    <t>Обсл.программы "Табличный расчет зарплаты"</t>
  </si>
  <si>
    <t xml:space="preserve">2015 год </t>
  </si>
  <si>
    <t>2.1</t>
  </si>
  <si>
    <t>Материальные затраты</t>
  </si>
  <si>
    <t>2.1.1</t>
  </si>
  <si>
    <t>2.1.1.1</t>
  </si>
  <si>
    <t>2.1.1.2</t>
  </si>
  <si>
    <t>прочие вспомогательные материалы</t>
  </si>
  <si>
    <r>
      <t xml:space="preserve">Работы и услуги производственного характера </t>
    </r>
    <r>
      <rPr>
        <sz val="8"/>
        <color theme="1"/>
        <rFont val="Calibri"/>
        <family val="2"/>
        <charset val="204"/>
        <scheme val="minor"/>
      </rPr>
      <t>(в т.ч. услуги сторонних организаций по содержанию сетей и распределительных устройств)</t>
    </r>
  </si>
  <si>
    <t>2.1.3</t>
  </si>
  <si>
    <t>2.2</t>
  </si>
  <si>
    <t>2.3</t>
  </si>
  <si>
    <t>2.3.1</t>
  </si>
  <si>
    <t xml:space="preserve">Ремонт основных фондов </t>
  </si>
  <si>
    <t>2.3.2</t>
  </si>
  <si>
    <t>Работы и услуги непроизводственного характера</t>
  </si>
  <si>
    <t>2.3.2.1</t>
  </si>
  <si>
    <t>Расходы на охрану и пожарную безопасность</t>
  </si>
  <si>
    <t>Расходы на услуги коммунального хозяйства</t>
  </si>
  <si>
    <t>Расходы на юридические услуги</t>
  </si>
  <si>
    <t>Расходы на консультационные услуги</t>
  </si>
  <si>
    <t>Расходы на аудиторские услуги</t>
  </si>
  <si>
    <t>Расходы на сертификацию</t>
  </si>
  <si>
    <t>Транспортные услуги</t>
  </si>
  <si>
    <t>Расходы на командировки и представительские расходы</t>
  </si>
  <si>
    <t>Расходы на обеспечение нормальных условий труда мер по технике безопасности</t>
  </si>
  <si>
    <t>Расходы на подготовку кадров</t>
  </si>
  <si>
    <t>Расходы на страхование</t>
  </si>
  <si>
    <t>Целевые средства на НИОКР</t>
  </si>
  <si>
    <t>Содержание управляющей</t>
  </si>
  <si>
    <t>2.3.2.2</t>
  </si>
  <si>
    <t>2.3.2.3</t>
  </si>
  <si>
    <t>2.3.2.4</t>
  </si>
  <si>
    <t>2.3.2.5</t>
  </si>
  <si>
    <t>2.3.2.6</t>
  </si>
  <si>
    <t>2.3.2.7</t>
  </si>
  <si>
    <t>2.3.2.8</t>
  </si>
  <si>
    <t>2.3.2.9</t>
  </si>
  <si>
    <t>2.3.2.10</t>
  </si>
  <si>
    <t>2.3.2.11</t>
  </si>
  <si>
    <t>2.3.2.12</t>
  </si>
  <si>
    <t>2.3.2.13</t>
  </si>
  <si>
    <t>2.3.2.14</t>
  </si>
  <si>
    <t>2.3.2.15</t>
  </si>
  <si>
    <t>2.3.2.16</t>
  </si>
  <si>
    <t>Внереализационные расходы</t>
  </si>
  <si>
    <t>Расходы на услуги банков</t>
  </si>
  <si>
    <t>% за пользование кредитом</t>
  </si>
  <si>
    <t>Расходы на формирование резервов по сомнительным долгам</t>
  </si>
  <si>
    <t>Другие внереализационные расходы</t>
  </si>
  <si>
    <t>3.1</t>
  </si>
  <si>
    <t>3.2</t>
  </si>
  <si>
    <t>3.3</t>
  </si>
  <si>
    <t>3.4</t>
  </si>
  <si>
    <t>4</t>
  </si>
  <si>
    <t>Расходы, не учитываемые в целях налогообложения</t>
  </si>
  <si>
    <t>Дивиденды</t>
  </si>
  <si>
    <t>Денежные выплаты социального характера ( по коллективному договору)</t>
  </si>
  <si>
    <t>Резервный фонд</t>
  </si>
  <si>
    <t>Прочие расходы их прибыли</t>
  </si>
  <si>
    <t>4.1</t>
  </si>
  <si>
    <t>4.2</t>
  </si>
  <si>
    <t>4.3</t>
  </si>
  <si>
    <t>4.4</t>
  </si>
  <si>
    <t>5.1</t>
  </si>
  <si>
    <t>Оплата услуг ОАО "ФСК ЕЭС"</t>
  </si>
  <si>
    <t>5.2</t>
  </si>
  <si>
    <t>Энергия на хоз. нужды</t>
  </si>
  <si>
    <t>Теплоэнергия</t>
  </si>
  <si>
    <t>Плата за за аренду имущества и лизинг</t>
  </si>
  <si>
    <t>5.3</t>
  </si>
  <si>
    <t>5.4</t>
  </si>
  <si>
    <t>5.5</t>
  </si>
  <si>
    <t>Налоги ,всего, в т.ч.:</t>
  </si>
  <si>
    <t>Плата за землю</t>
  </si>
  <si>
    <t>Прочие налоги сборы</t>
  </si>
  <si>
    <t>5.5.1</t>
  </si>
  <si>
    <t>5.5.2</t>
  </si>
  <si>
    <t>5.5.3</t>
  </si>
  <si>
    <t>5.5.4</t>
  </si>
  <si>
    <t>5.6</t>
  </si>
  <si>
    <t>Отчисления на социальные нужды (ЕСН)</t>
  </si>
  <si>
    <t>5.7</t>
  </si>
  <si>
    <t>Налог на прибыль</t>
  </si>
  <si>
    <t>Амортизация</t>
  </si>
  <si>
    <t>Амортизация, учитываемая при налогообложении</t>
  </si>
  <si>
    <t>Амортизация, не учитываемая при налогообложении</t>
  </si>
  <si>
    <t>Погашение заемных средств</t>
  </si>
  <si>
    <t>Капитальные вложения</t>
  </si>
  <si>
    <t>5.8</t>
  </si>
  <si>
    <t>5.9</t>
  </si>
  <si>
    <t>5.10</t>
  </si>
  <si>
    <t>5.10.1</t>
  </si>
  <si>
    <t>5.10.2</t>
  </si>
  <si>
    <t>5.11</t>
  </si>
  <si>
    <t>5.12</t>
  </si>
  <si>
    <t>Расходы, связанные с компенсацией незапланированных расходов / полученный избыток</t>
  </si>
  <si>
    <t>6</t>
  </si>
  <si>
    <t>7</t>
  </si>
  <si>
    <t>Необходимая валовая выручка , всего</t>
  </si>
  <si>
    <t>2015 год факт</t>
  </si>
  <si>
    <t>Выпадающие доходы от технологического присоединения</t>
  </si>
  <si>
    <t>Целевые средства на НИОКР(расчет потерь, энергоаудит, разработка инвестиционной программы))</t>
  </si>
  <si>
    <t xml:space="preserve">Программа 1С:Бухгалтерия с ИТС  </t>
  </si>
  <si>
    <t>Расчет по  договору №959/п ОАО "ФСК ЕЭС" (Доп.соглашение № 4)</t>
  </si>
  <si>
    <t xml:space="preserve">на содержание объектов электросетевого хозяйства, </t>
  </si>
  <si>
    <t>входящих в ЕНЭС</t>
  </si>
  <si>
    <t xml:space="preserve">Плановая стоимость нормативных потерь (технологического расхода электроэнергии   </t>
  </si>
  <si>
    <t>Холодная вода и водоотведение</t>
  </si>
  <si>
    <t>проезд в отпуск иждивенцев</t>
  </si>
  <si>
    <t>Услуги по доставке материалов</t>
  </si>
  <si>
    <t>9.9.</t>
  </si>
  <si>
    <t>предприятия МУП "Электросеть"</t>
  </si>
  <si>
    <t>Факт 2015 года</t>
  </si>
  <si>
    <t>Отклонения</t>
  </si>
  <si>
    <t>2016 год-план</t>
  </si>
  <si>
    <t>2015год- план</t>
  </si>
  <si>
    <t>Факт 2016 года</t>
  </si>
  <si>
    <t>2017 год-план</t>
  </si>
  <si>
    <t>Работы и услуги производственного  характера(ремонт авт. +ДИМ)</t>
  </si>
  <si>
    <t>из них на ремонт авт</t>
  </si>
  <si>
    <t>Членский взнос СРО</t>
  </si>
  <si>
    <t>Проживание в гостинице</t>
  </si>
  <si>
    <t>Техосмотр автомобилей</t>
  </si>
  <si>
    <t>2016 год факт</t>
  </si>
  <si>
    <t>Расчет</t>
  </si>
  <si>
    <t>8</t>
  </si>
  <si>
    <t>Факт 2017 года</t>
  </si>
  <si>
    <t xml:space="preserve">2017 год </t>
  </si>
  <si>
    <t>2017 год факт</t>
  </si>
  <si>
    <t>в т.ч. проезд в отпуск</t>
  </si>
  <si>
    <t>Взнос на кап.ремонт в Фонд кап. ремонта</t>
  </si>
  <si>
    <t>Прием в сеть э/э МВт*ч</t>
  </si>
  <si>
    <t>Тариф  на оплату потерь руб/МВт*ч (средний по факту за 2017 год)</t>
  </si>
  <si>
    <t>Расходы на канцтовары</t>
  </si>
  <si>
    <t>Корректировка НВВ с учетом понижающего(повышающего) коэффициента (КНКi)</t>
  </si>
  <si>
    <t>Денежные выплаты социального характера</t>
  </si>
  <si>
    <t>Тариф норм.</t>
  </si>
  <si>
    <t>Тариф сверхнорм.</t>
  </si>
  <si>
    <t>сумма без НДС</t>
  </si>
  <si>
    <t>ндс</t>
  </si>
  <si>
    <t>Всего, полезный отпуск</t>
  </si>
  <si>
    <t>месяцы</t>
  </si>
  <si>
    <t>тыс квт.ч</t>
  </si>
  <si>
    <t>заявл.мощность</t>
  </si>
  <si>
    <t>ставка на содерж.сетей</t>
  </si>
  <si>
    <t>Доходы на содерж.сетей (НВВ)</t>
  </si>
  <si>
    <t>ставка на оплату потерь</t>
  </si>
  <si>
    <t>Доходы на передачу  (потери)</t>
  </si>
  <si>
    <t>Наименование работ</t>
  </si>
  <si>
    <t>Стоимость с/но расчету</t>
  </si>
  <si>
    <t>Количество приборов учета</t>
  </si>
  <si>
    <t>Общая стоимость работ</t>
  </si>
  <si>
    <t>Электромонтажные работы по установке интеллектуального 1-фазного прибора учета SPLIT</t>
  </si>
  <si>
    <t>Электромонтажные работы по установке интеллектуального 1-фазного прибора учета</t>
  </si>
  <si>
    <t>Электромонтажные работы по установке интеллектуального 3-фазного прибора учета прямого включения</t>
  </si>
  <si>
    <r>
      <rPr>
        <b/>
        <sz val="14"/>
        <color theme="1"/>
        <rFont val="Calibri"/>
        <family val="2"/>
        <charset val="204"/>
        <scheme val="minor"/>
      </rPr>
      <t>интеллектуальных</t>
    </r>
    <r>
      <rPr>
        <b/>
        <sz val="12"/>
        <color theme="1"/>
        <rFont val="Calibri"/>
        <family val="2"/>
        <charset val="204"/>
        <scheme val="minor"/>
      </rPr>
      <t xml:space="preserve"> приборов учета</t>
    </r>
  </si>
  <si>
    <t>Ванино</t>
  </si>
  <si>
    <t>Октябрьский</t>
  </si>
  <si>
    <t>Токи</t>
  </si>
  <si>
    <t>Дюанка</t>
  </si>
  <si>
    <t>Датта</t>
  </si>
  <si>
    <t>Высокогорный</t>
  </si>
  <si>
    <t>Кенада</t>
  </si>
  <si>
    <t>У-Орочи</t>
  </si>
  <si>
    <t>Трехфазный учет трансформаторного включения</t>
  </si>
  <si>
    <t>Расчет необходимого количества интеллектуальных приборов учета МУП "Электросеть"</t>
  </si>
  <si>
    <t xml:space="preserve">Недополученный доход </t>
  </si>
  <si>
    <t>2020 год</t>
  </si>
  <si>
    <t>2020 год.</t>
  </si>
  <si>
    <t>Бесхозяйный объект -ВЛ -10кВ п.Токи от ОРУ 35 кВ РЖД до ТП-792 МУП "Электросеть"</t>
  </si>
  <si>
    <t>Примечание.При расчете условных единиц протяженности ВЛЭП-0,4кВ от линии до</t>
  </si>
  <si>
    <t>ввода в здание не учитывается</t>
  </si>
  <si>
    <t>Условные единицы по ВЛЭП-0,4 кВ учитываются трудозатраты на обслуживание и ремонт</t>
  </si>
  <si>
    <t>а) воздушных линий в здание</t>
  </si>
  <si>
    <t>б)линий с совместной подвеской проводов.</t>
  </si>
  <si>
    <t xml:space="preserve">Условные единицы по ВЛЭП 0,4*20кВ учитывают трудозатраты оперативного персонала </t>
  </si>
  <si>
    <t>распределительных сетей 0,4-20 кВ.</t>
  </si>
  <si>
    <t>Кабельные вводы учтны в условных единицах КЛЭП напряжением до 1 кВ.</t>
  </si>
  <si>
    <t>исп.инженер Сорокина Т.А.</t>
  </si>
  <si>
    <t>т.8(42137)72574</t>
  </si>
  <si>
    <t>Информация</t>
  </si>
  <si>
    <t>о затратах  МУП "Электросеть"   на покупку потерь,</t>
  </si>
  <si>
    <t>о стоимости и о размере фактических потерь в 2018 году</t>
  </si>
  <si>
    <t>Покупку электрической энергии в целях компенсации потерь МУП "Электросеть"</t>
  </si>
  <si>
    <t xml:space="preserve">осуществляет по договору № 41 ОТ 01.04.2014г. в целях компенсации потерь, </t>
  </si>
  <si>
    <t>заключенному с ОАО "ДЭК"</t>
  </si>
  <si>
    <t>период</t>
  </si>
  <si>
    <t>Объем электроэнергии, приобретенной в целях компенсации потерь в сетях, квт.ч</t>
  </si>
  <si>
    <t>Объем электроэнергии, приобретенной в целях компенсации потерь в сетях, квт.ч   норматив</t>
  </si>
  <si>
    <t>Сумма затрат, без НДС , руб.</t>
  </si>
  <si>
    <t>Объем электроэнергии, приобретенной в целях компенсации потерь в сетях, квт.ч   сверхнорматив</t>
  </si>
  <si>
    <t>Сумма затрат, без НДС , руб.   ВСЕГО</t>
  </si>
  <si>
    <t>Сумма затрат, руб.   ВСЕГО с НДС</t>
  </si>
  <si>
    <t xml:space="preserve"> Фактические доходы, полученные за услуги по передаче эл.энергии МУП "Электросеть"</t>
  </si>
  <si>
    <t>по двухставочному тарифу</t>
  </si>
  <si>
    <t xml:space="preserve"> за 2018 год</t>
  </si>
  <si>
    <t>ВСЕГО</t>
  </si>
  <si>
    <t>ВСЕГО с НДС</t>
  </si>
  <si>
    <t xml:space="preserve"> 2018 год план</t>
  </si>
  <si>
    <t xml:space="preserve"> 2018 год факт</t>
  </si>
  <si>
    <t xml:space="preserve"> 2018 год факт транспортировка</t>
  </si>
  <si>
    <t>2018 год-план</t>
  </si>
  <si>
    <t>Факт 2018 года</t>
  </si>
  <si>
    <t xml:space="preserve">2018 год </t>
  </si>
  <si>
    <t>2018 год факт</t>
  </si>
  <si>
    <t>НВВ на содержание электрических сетей</t>
  </si>
  <si>
    <t>Покупка электроэнергии на компенсацию потерь</t>
  </si>
  <si>
    <t>НВВ от регулируемой деятельности</t>
  </si>
  <si>
    <t>Выручка</t>
  </si>
  <si>
    <t>Финансовый результат (убыток)</t>
  </si>
  <si>
    <t>(-3729,77)</t>
  </si>
  <si>
    <t>(-3234,1)</t>
  </si>
  <si>
    <t>(-37774)</t>
  </si>
  <si>
    <t>Плата за аренду имущества и лизинг</t>
  </si>
  <si>
    <t>ООО Софтинфо</t>
  </si>
  <si>
    <t>Система Главбух</t>
  </si>
  <si>
    <t xml:space="preserve"> ПО Почтовый агент</t>
  </si>
  <si>
    <t>РСИЦ</t>
  </si>
  <si>
    <t>Вымпелком</t>
  </si>
  <si>
    <t>Ростелеком</t>
  </si>
  <si>
    <t>ЭР-Телеком Холдинг (Энфорта)</t>
  </si>
  <si>
    <t>МТС</t>
  </si>
  <si>
    <t>Проезд</t>
  </si>
  <si>
    <t xml:space="preserve">Суточные </t>
  </si>
  <si>
    <t>Пестова</t>
  </si>
  <si>
    <t>Услуги Почты  (марки и конверты)</t>
  </si>
  <si>
    <t xml:space="preserve">Квадро </t>
  </si>
  <si>
    <t>Чижевский</t>
  </si>
  <si>
    <t>Федоров</t>
  </si>
  <si>
    <t>Булыгин</t>
  </si>
  <si>
    <t>Сбербанк (эл подпись)</t>
  </si>
  <si>
    <t>МосСофт (гранд-смета)</t>
  </si>
  <si>
    <t>Руские программы(Касперский)</t>
  </si>
  <si>
    <t>Проезд к месту работы в п. Кенада</t>
  </si>
  <si>
    <t>Домовенок</t>
  </si>
  <si>
    <t>ИП Данилова</t>
  </si>
  <si>
    <t>Ибрис</t>
  </si>
  <si>
    <t>Подписка ДВ Энергопотребитель</t>
  </si>
  <si>
    <t>Услуги при оформлениии билетов</t>
  </si>
  <si>
    <t>ДВИПРАЗ</t>
  </si>
  <si>
    <t>Сигнал-Ванино</t>
  </si>
  <si>
    <t>Агентство тендерного консалтинга</t>
  </si>
  <si>
    <t>Управление ЖКХ</t>
  </si>
  <si>
    <t>Прочие расходы из прибыли</t>
  </si>
  <si>
    <t>Оплата услуг производственного характера (АНО "ЭлектроСертификация")</t>
  </si>
  <si>
    <t>Заправка картриджа</t>
  </si>
  <si>
    <t>Обслуживание автомобилей</t>
  </si>
  <si>
    <t>Оценка автобуса</t>
  </si>
  <si>
    <t>Размещение объявления</t>
  </si>
  <si>
    <t>Услуги нотариуса</t>
  </si>
  <si>
    <t>в т.ч. Плата за аренду имущества и лизинг</t>
  </si>
  <si>
    <t>Поверка Вольтамперфазометра</t>
  </si>
  <si>
    <t>квт.ч</t>
  </si>
  <si>
    <t>Расходы, связанные с передачей эл.энергии ПАО "ФСК ЕЭС" для МУП "Электросеть"</t>
  </si>
  <si>
    <t>Расходы на содерж.сетей</t>
  </si>
  <si>
    <t>Расходы на передачу</t>
  </si>
  <si>
    <t>факт</t>
  </si>
  <si>
    <t>2018 год</t>
  </si>
  <si>
    <t>начислено с НДС</t>
  </si>
  <si>
    <t xml:space="preserve">Однофазный учет </t>
  </si>
  <si>
    <t>Всего необходимое кол-во  интеллектуальных п/у</t>
  </si>
  <si>
    <t xml:space="preserve">в т.ч. Срочная установка п/у( расчет по нормативу)  </t>
  </si>
  <si>
    <t>Трехфазный учет прямого вкл.</t>
  </si>
  <si>
    <t>Многокв.дома(ОБД),в т.ч.</t>
  </si>
  <si>
    <t>кол-во маршрутизаторов  1 тран.подст.</t>
  </si>
  <si>
    <t>кол-во маршрутизаторов  2 тран.подст.</t>
  </si>
  <si>
    <t>Однотрансформаторная ТП,КТП</t>
  </si>
  <si>
    <t>Двухтрансформаторная ТП,КТП</t>
  </si>
  <si>
    <t xml:space="preserve"> средств, необходимых на установку </t>
  </si>
  <si>
    <t>Необходимая валовая выручка на содержание электрических сетей МУП "Электросеть" на 2020 год</t>
  </si>
  <si>
    <t xml:space="preserve">Эксперты 2020 год </t>
  </si>
  <si>
    <t xml:space="preserve">МУП "Электросеть"2020 год 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</si>
  <si>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на ее транспортировку)</t>
    </r>
    <r>
      <rPr>
        <sz val="11"/>
        <color theme="1"/>
        <rFont val="Calibri"/>
        <family val="2"/>
        <charset val="204"/>
        <scheme val="minor"/>
      </rPr>
      <t xml:space="preserve"> при передаче электрической энергии на 2020 год.</t>
    </r>
  </si>
  <si>
    <t>Тариф  на оплату потерь руб/МВт*ч (средний по факту за 2018 год)</t>
  </si>
  <si>
    <t>Всего затрат  по ОАО "ФСК" на  2020 год</t>
  </si>
  <si>
    <t>Смета расходов, связанных с передачей электрической энергии по сетям МУП "Электросеть"за 2018 год</t>
  </si>
  <si>
    <t>В том числе прочие</t>
  </si>
  <si>
    <t xml:space="preserve"> 2018 год факт общие затраты</t>
  </si>
  <si>
    <t>=</t>
  </si>
  <si>
    <t>Итого начислено за 2018 год.</t>
  </si>
  <si>
    <t>тыс руб.</t>
  </si>
  <si>
    <t>Доставка работников к месту работы</t>
  </si>
  <si>
    <t>Материальная помощь</t>
  </si>
  <si>
    <t>Оплата труда работников прочей деятельности</t>
  </si>
  <si>
    <t>Итого ЗП работников, занятых транспортировкой э/э</t>
  </si>
  <si>
    <t>Проезд в отпуск в 2018 году</t>
  </si>
  <si>
    <t>Всего ЗП работников, занятых транспортировкой э/э</t>
  </si>
  <si>
    <t>Отчет об использовании за 2017-2018 годы</t>
  </si>
  <si>
    <t>Общее количество трансформаторов 144 шт</t>
  </si>
  <si>
    <t>Начальник отдела распределения электроэнергии                                                      О.В.Евдокимова</t>
  </si>
  <si>
    <t>Первоочередная задача</t>
  </si>
  <si>
    <t>Электромонтажные работы по установке интеллектуального технологического учета и УСПД  -маршрутизатор</t>
  </si>
  <si>
    <t>МУП "Электросеть" в 2020 году</t>
  </si>
  <si>
    <t>на период 2020-2022 годы</t>
  </si>
  <si>
    <t>Итого необходимо средств на 2020-2022 годы</t>
  </si>
  <si>
    <t xml:space="preserve">                          2021 год</t>
  </si>
  <si>
    <t xml:space="preserve">                          2022 год</t>
  </si>
  <si>
    <t>в том числе   2020 год</t>
  </si>
  <si>
    <t xml:space="preserve">Расчет расходов на оплату труда на 2020 год </t>
  </si>
  <si>
    <t>проезд к месту отдыха на 2020г.( По факту 2018г с индекс.103,7%)</t>
  </si>
  <si>
    <t>предприятие 2020 год</t>
  </si>
  <si>
    <t>Эксперты 2020 год</t>
  </si>
  <si>
    <t>Капитальные вложения (установка интеллектуальных приборов учета) первоочередная задача</t>
  </si>
  <si>
    <t>Капитальные вложения (установка интеллектуальных приборов учета) затраты на 2020 год (1/3)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</si>
</sst>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0.0"/>
    <numFmt numFmtId="166" formatCode="0.00000"/>
    <numFmt numFmtId="167" formatCode="0.000"/>
  </numFmts>
  <fonts count="44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Franklin Gothic Medium"/>
      <family val="2"/>
      <charset val="204"/>
    </font>
    <font>
      <b/>
      <sz val="10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b/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1" fillId="0" borderId="0" applyBorder="0">
      <alignment horizontal="center" vertical="center" wrapText="1"/>
    </xf>
    <xf numFmtId="0" fontId="13" fillId="0" borderId="11" applyBorder="0">
      <alignment horizontal="center" vertical="center" wrapText="1"/>
    </xf>
    <xf numFmtId="4" fontId="14" fillId="3" borderId="2" applyBorder="0">
      <alignment horizontal="right"/>
    </xf>
    <xf numFmtId="4" fontId="14" fillId="4" borderId="0" applyBorder="0">
      <alignment horizontal="right"/>
    </xf>
    <xf numFmtId="4" fontId="14" fillId="5" borderId="13" applyBorder="0">
      <alignment horizontal="right"/>
    </xf>
    <xf numFmtId="0" fontId="2" fillId="0" borderId="0"/>
    <xf numFmtId="49" fontId="14" fillId="0" borderId="0" applyBorder="0">
      <alignment vertical="top"/>
    </xf>
    <xf numFmtId="43" fontId="9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Border="1"/>
    <xf numFmtId="0" fontId="0" fillId="0" borderId="2" xfId="0" applyBorder="1"/>
    <xf numFmtId="0" fontId="0" fillId="2" borderId="0" xfId="0" applyFill="1"/>
    <xf numFmtId="0" fontId="6" fillId="2" borderId="0" xfId="0" applyFont="1" applyFill="1"/>
    <xf numFmtId="0" fontId="8" fillId="0" borderId="0" xfId="0" applyFont="1"/>
    <xf numFmtId="0" fontId="13" fillId="0" borderId="14" xfId="2" applyBorder="1">
      <alignment horizontal="center" vertical="center" wrapText="1"/>
    </xf>
    <xf numFmtId="0" fontId="13" fillId="0" borderId="15" xfId="2" applyBorder="1">
      <alignment horizontal="center" vertical="center" wrapText="1"/>
    </xf>
    <xf numFmtId="0" fontId="13" fillId="0" borderId="2" xfId="2" applyBorder="1">
      <alignment horizontal="center" vertical="center" wrapText="1"/>
    </xf>
    <xf numFmtId="0" fontId="13" fillId="0" borderId="6" xfId="2" applyBorder="1">
      <alignment horizontal="center" vertical="center" wrapText="1"/>
    </xf>
    <xf numFmtId="0" fontId="13" fillId="0" borderId="5" xfId="2" applyBorder="1">
      <alignment horizontal="center" vertical="center" wrapText="1"/>
    </xf>
    <xf numFmtId="0" fontId="13" fillId="0" borderId="2" xfId="2" applyBorder="1" applyAlignment="1">
      <alignment horizontal="center" vertical="center" wrapText="1"/>
    </xf>
    <xf numFmtId="0" fontId="13" fillId="0" borderId="2" xfId="2" applyFont="1" applyBorder="1">
      <alignment horizontal="center" vertical="center" wrapText="1"/>
    </xf>
    <xf numFmtId="0" fontId="13" fillId="0" borderId="6" xfId="2" applyFont="1" applyBorder="1">
      <alignment horizontal="center" vertical="center" wrapText="1"/>
    </xf>
    <xf numFmtId="49" fontId="0" fillId="0" borderId="2" xfId="0" applyNumberFormat="1" applyBorder="1" applyAlignment="1">
      <alignment vertical="top"/>
    </xf>
    <xf numFmtId="4" fontId="14" fillId="3" borderId="2" xfId="3" applyNumberFormat="1" applyBorder="1" applyProtection="1">
      <alignment horizontal="right"/>
    </xf>
    <xf numFmtId="4" fontId="14" fillId="4" borderId="6" xfId="4" applyBorder="1">
      <alignment horizontal="right"/>
    </xf>
    <xf numFmtId="17" fontId="0" fillId="0" borderId="2" xfId="0" quotePrefix="1" applyNumberFormat="1" applyBorder="1" applyAlignment="1">
      <alignment vertical="top"/>
    </xf>
    <xf numFmtId="49" fontId="0" fillId="0" borderId="5" xfId="0" applyNumberFormat="1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4" fontId="0" fillId="3" borderId="2" xfId="0" applyNumberFormat="1" applyFill="1" applyBorder="1" applyAlignment="1" applyProtection="1">
      <alignment vertical="top"/>
    </xf>
    <xf numFmtId="4" fontId="13" fillId="4" borderId="6" xfId="4" applyFont="1" applyBorder="1">
      <alignment horizontal="right"/>
    </xf>
    <xf numFmtId="49" fontId="0" fillId="0" borderId="16" xfId="0" applyNumberFormat="1" applyBorder="1" applyAlignment="1">
      <alignment vertical="top"/>
    </xf>
    <xf numFmtId="4" fontId="0" fillId="3" borderId="16" xfId="0" applyNumberFormat="1" applyFill="1" applyBorder="1" applyAlignment="1" applyProtection="1">
      <alignment vertical="top"/>
    </xf>
    <xf numFmtId="4" fontId="13" fillId="4" borderId="17" xfId="5" applyFont="1" applyFill="1" applyBorder="1">
      <alignment horizontal="right"/>
    </xf>
    <xf numFmtId="0" fontId="10" fillId="0" borderId="0" xfId="0" applyFont="1"/>
    <xf numFmtId="0" fontId="3" fillId="2" borderId="2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1" fontId="0" fillId="2" borderId="2" xfId="0" applyNumberFormat="1" applyFill="1" applyBorder="1"/>
    <xf numFmtId="0" fontId="6" fillId="2" borderId="2" xfId="6" applyFont="1" applyFill="1" applyBorder="1" applyAlignment="1">
      <alignment horizontal="center"/>
    </xf>
    <xf numFmtId="0" fontId="5" fillId="2" borderId="2" xfId="6" applyFont="1" applyFill="1" applyBorder="1" applyAlignment="1">
      <alignment horizontal="center"/>
    </xf>
    <xf numFmtId="16" fontId="6" fillId="2" borderId="2" xfId="6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0" fillId="0" borderId="2" xfId="0" applyFont="1" applyBorder="1"/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/>
    <xf numFmtId="0" fontId="0" fillId="0" borderId="2" xfId="0" applyBorder="1" applyAlignment="1">
      <alignment wrapText="1"/>
    </xf>
    <xf numFmtId="2" fontId="0" fillId="0" borderId="2" xfId="0" applyNumberFormat="1" applyBorder="1"/>
    <xf numFmtId="2" fontId="10" fillId="0" borderId="0" xfId="0" applyNumberFormat="1" applyFont="1"/>
    <xf numFmtId="0" fontId="18" fillId="2" borderId="0" xfId="0" applyFont="1" applyFill="1"/>
    <xf numFmtId="0" fontId="15" fillId="2" borderId="0" xfId="0" applyFont="1" applyFill="1"/>
    <xf numFmtId="0" fontId="21" fillId="0" borderId="14" xfId="2" applyNumberFormat="1" applyFont="1" applyBorder="1">
      <alignment horizontal="center" vertical="center" wrapText="1"/>
    </xf>
    <xf numFmtId="0" fontId="21" fillId="0" borderId="14" xfId="2" applyFont="1" applyBorder="1">
      <alignment horizontal="center" vertical="center" wrapText="1"/>
    </xf>
    <xf numFmtId="0" fontId="21" fillId="0" borderId="15" xfId="2" applyFont="1" applyBorder="1">
      <alignment horizontal="center" vertical="center" wrapText="1"/>
    </xf>
    <xf numFmtId="0" fontId="21" fillId="0" borderId="2" xfId="2" applyNumberFormat="1" applyFont="1" applyBorder="1">
      <alignment horizontal="center" vertical="center" wrapText="1"/>
    </xf>
    <xf numFmtId="0" fontId="21" fillId="0" borderId="2" xfId="2" applyFont="1" applyBorder="1">
      <alignment horizontal="center" vertical="center" wrapText="1"/>
    </xf>
    <xf numFmtId="0" fontId="21" fillId="0" borderId="6" xfId="2" applyFont="1" applyBorder="1">
      <alignment horizontal="center" vertical="center" wrapText="1"/>
    </xf>
    <xf numFmtId="0" fontId="20" fillId="0" borderId="5" xfId="2" applyFont="1" applyBorder="1">
      <alignment horizontal="center" vertical="center" wrapText="1"/>
    </xf>
    <xf numFmtId="0" fontId="21" fillId="0" borderId="5" xfId="2" applyFont="1" applyBorder="1">
      <alignment horizontal="center" vertical="center" wrapText="1"/>
    </xf>
    <xf numFmtId="49" fontId="8" fillId="0" borderId="2" xfId="0" applyNumberFormat="1" applyFont="1" applyBorder="1" applyAlignment="1">
      <alignment vertical="top"/>
    </xf>
    <xf numFmtId="4" fontId="22" fillId="3" borderId="2" xfId="3" applyNumberFormat="1" applyFont="1" applyBorder="1" applyProtection="1">
      <alignment horizontal="right"/>
    </xf>
    <xf numFmtId="4" fontId="22" fillId="4" borderId="6" xfId="4" applyFont="1" applyBorder="1">
      <alignment horizontal="right"/>
    </xf>
    <xf numFmtId="49" fontId="8" fillId="0" borderId="5" xfId="0" applyNumberFormat="1" applyFont="1" applyBorder="1" applyAlignment="1">
      <alignment vertical="top"/>
    </xf>
    <xf numFmtId="4" fontId="8" fillId="3" borderId="2" xfId="0" applyNumberFormat="1" applyFont="1" applyFill="1" applyBorder="1" applyAlignment="1" applyProtection="1">
      <alignment vertical="top"/>
    </xf>
    <xf numFmtId="4" fontId="21" fillId="4" borderId="6" xfId="4" applyFont="1" applyBorder="1">
      <alignment horizontal="right"/>
    </xf>
    <xf numFmtId="4" fontId="22" fillId="3" borderId="2" xfId="3" applyNumberFormat="1" applyFont="1" applyFill="1" applyBorder="1" applyProtection="1">
      <alignment horizontal="right"/>
    </xf>
    <xf numFmtId="4" fontId="22" fillId="6" borderId="2" xfId="3" applyNumberFormat="1" applyFont="1" applyFill="1" applyBorder="1" applyProtection="1">
      <alignment horizontal="right"/>
    </xf>
    <xf numFmtId="164" fontId="21" fillId="4" borderId="6" xfId="4" applyNumberFormat="1" applyFont="1" applyBorder="1">
      <alignment horizontal="right"/>
    </xf>
    <xf numFmtId="49" fontId="8" fillId="0" borderId="9" xfId="0" applyNumberFormat="1" applyFont="1" applyBorder="1" applyAlignment="1">
      <alignment vertical="top"/>
    </xf>
    <xf numFmtId="49" fontId="8" fillId="0" borderId="16" xfId="0" applyNumberFormat="1" applyFont="1" applyBorder="1" applyAlignment="1">
      <alignment vertical="top"/>
    </xf>
    <xf numFmtId="4" fontId="8" fillId="3" borderId="16" xfId="0" applyNumberFormat="1" applyFont="1" applyFill="1" applyBorder="1" applyAlignment="1" applyProtection="1">
      <alignment vertical="top"/>
    </xf>
    <xf numFmtId="4" fontId="21" fillId="4" borderId="17" xfId="4" applyNumberFormat="1" applyFont="1" applyBorder="1">
      <alignment horizontal="right"/>
    </xf>
    <xf numFmtId="0" fontId="17" fillId="0" borderId="0" xfId="0" applyFont="1"/>
    <xf numFmtId="0" fontId="10" fillId="2" borderId="0" xfId="0" applyFont="1" applyFill="1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wrapText="1"/>
    </xf>
    <xf numFmtId="0" fontId="24" fillId="0" borderId="0" xfId="0" applyFont="1"/>
    <xf numFmtId="0" fontId="25" fillId="0" borderId="0" xfId="0" applyFont="1"/>
    <xf numFmtId="0" fontId="6" fillId="2" borderId="2" xfId="0" applyFont="1" applyFill="1" applyBorder="1"/>
    <xf numFmtId="2" fontId="6" fillId="2" borderId="2" xfId="0" applyNumberFormat="1" applyFont="1" applyFill="1" applyBorder="1"/>
    <xf numFmtId="165" fontId="6" fillId="2" borderId="2" xfId="0" applyNumberFormat="1" applyFont="1" applyFill="1" applyBorder="1"/>
    <xf numFmtId="0" fontId="26" fillId="2" borderId="2" xfId="0" applyFont="1" applyFill="1" applyBorder="1"/>
    <xf numFmtId="165" fontId="5" fillId="2" borderId="2" xfId="0" applyNumberFormat="1" applyFont="1" applyFill="1" applyBorder="1"/>
    <xf numFmtId="2" fontId="5" fillId="2" borderId="2" xfId="0" applyNumberFormat="1" applyFont="1" applyFill="1" applyBorder="1"/>
    <xf numFmtId="0" fontId="5" fillId="2" borderId="2" xfId="0" applyFont="1" applyFill="1" applyBorder="1"/>
    <xf numFmtId="0" fontId="27" fillId="2" borderId="0" xfId="0" applyFont="1" applyFill="1"/>
    <xf numFmtId="165" fontId="6" fillId="2" borderId="0" xfId="0" applyNumberFormat="1" applyFont="1" applyFill="1"/>
    <xf numFmtId="0" fontId="5" fillId="2" borderId="8" xfId="0" applyFont="1" applyFill="1" applyBorder="1" applyAlignment="1">
      <alignment horizontal="center" wrapText="1"/>
    </xf>
    <xf numFmtId="0" fontId="6" fillId="2" borderId="0" xfId="6" applyFont="1" applyFill="1"/>
    <xf numFmtId="0" fontId="5" fillId="2" borderId="2" xfId="6" applyFont="1" applyFill="1" applyBorder="1" applyAlignment="1">
      <alignment horizontal="center" vertical="center" wrapText="1"/>
    </xf>
    <xf numFmtId="0" fontId="6" fillId="2" borderId="2" xfId="6" applyFont="1" applyFill="1" applyBorder="1" applyAlignment="1">
      <alignment wrapText="1"/>
    </xf>
    <xf numFmtId="0" fontId="6" fillId="2" borderId="2" xfId="6" applyFont="1" applyFill="1" applyBorder="1" applyAlignment="1">
      <alignment horizontal="left" wrapText="1"/>
    </xf>
    <xf numFmtId="0" fontId="6" fillId="2" borderId="2" xfId="6" applyFont="1" applyFill="1" applyBorder="1" applyAlignment="1">
      <alignment horizontal="left" vertical="center" wrapText="1"/>
    </xf>
    <xf numFmtId="0" fontId="6" fillId="2" borderId="2" xfId="6" applyFont="1" applyFill="1" applyBorder="1" applyAlignment="1">
      <alignment horizontal="center" vertical="top"/>
    </xf>
    <xf numFmtId="0" fontId="6" fillId="2" borderId="2" xfId="6" applyFont="1" applyFill="1" applyBorder="1" applyAlignment="1">
      <alignment vertical="top" wrapText="1"/>
    </xf>
    <xf numFmtId="0" fontId="5" fillId="2" borderId="2" xfId="6" applyFont="1" applyFill="1" applyBorder="1" applyAlignment="1">
      <alignment wrapText="1"/>
    </xf>
    <xf numFmtId="0" fontId="5" fillId="2" borderId="2" xfId="0" applyFont="1" applyFill="1" applyBorder="1" applyAlignment="1">
      <alignment horizontal="left" vertical="top"/>
    </xf>
    <xf numFmtId="0" fontId="6" fillId="2" borderId="3" xfId="0" applyFont="1" applyFill="1" applyBorder="1"/>
    <xf numFmtId="0" fontId="6" fillId="2" borderId="0" xfId="0" applyFont="1" applyFill="1" applyAlignment="1">
      <alignment horizontal="left" vertical="center" wrapText="1"/>
    </xf>
    <xf numFmtId="0" fontId="28" fillId="2" borderId="0" xfId="0" applyFont="1" applyFill="1"/>
    <xf numFmtId="0" fontId="7" fillId="2" borderId="2" xfId="0" applyFont="1" applyFill="1" applyBorder="1"/>
    <xf numFmtId="0" fontId="0" fillId="0" borderId="0" xfId="0" applyAlignment="1"/>
    <xf numFmtId="0" fontId="8" fillId="2" borderId="2" xfId="0" applyFont="1" applyFill="1" applyBorder="1" applyAlignment="1">
      <alignment horizontal="center"/>
    </xf>
    <xf numFmtId="2" fontId="0" fillId="2" borderId="2" xfId="0" applyNumberFormat="1" applyFill="1" applyBorder="1"/>
    <xf numFmtId="0" fontId="0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2" fontId="0" fillId="2" borderId="0" xfId="0" applyNumberFormat="1" applyFill="1" applyBorder="1"/>
    <xf numFmtId="2" fontId="10" fillId="2" borderId="2" xfId="0" applyNumberFormat="1" applyFont="1" applyFill="1" applyBorder="1"/>
    <xf numFmtId="49" fontId="0" fillId="2" borderId="2" xfId="0" applyNumberFormat="1" applyFill="1" applyBorder="1" applyAlignment="1">
      <alignment horizontal="right"/>
    </xf>
    <xf numFmtId="49" fontId="0" fillId="2" borderId="2" xfId="0" applyNumberFormat="1" applyFill="1" applyBorder="1"/>
    <xf numFmtId="49" fontId="0" fillId="2" borderId="0" xfId="0" applyNumberFormat="1" applyFill="1" applyBorder="1"/>
    <xf numFmtId="49" fontId="10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/>
    <xf numFmtId="49" fontId="0" fillId="2" borderId="2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>
      <alignment horizontal="center" vertical="top"/>
    </xf>
    <xf numFmtId="49" fontId="10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wrapText="1"/>
    </xf>
    <xf numFmtId="0" fontId="19" fillId="2" borderId="2" xfId="0" applyFont="1" applyFill="1" applyBorder="1" applyAlignment="1">
      <alignment wrapText="1"/>
    </xf>
    <xf numFmtId="0" fontId="29" fillId="2" borderId="2" xfId="0" applyFont="1" applyFill="1" applyBorder="1" applyAlignment="1">
      <alignment wrapText="1"/>
    </xf>
    <xf numFmtId="0" fontId="24" fillId="2" borderId="2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/>
    </xf>
    <xf numFmtId="0" fontId="8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5" fillId="2" borderId="0" xfId="6" applyFont="1" applyFill="1" applyAlignment="1">
      <alignment horizontal="center" vertical="center" wrapText="1"/>
    </xf>
    <xf numFmtId="0" fontId="0" fillId="7" borderId="0" xfId="0" applyFill="1"/>
    <xf numFmtId="0" fontId="10" fillId="7" borderId="0" xfId="0" applyFont="1" applyFill="1"/>
    <xf numFmtId="4" fontId="0" fillId="0" borderId="0" xfId="0" applyNumberFormat="1"/>
    <xf numFmtId="0" fontId="8" fillId="7" borderId="0" xfId="0" applyFont="1" applyFill="1"/>
    <xf numFmtId="0" fontId="17" fillId="7" borderId="0" xfId="0" applyFont="1" applyFill="1"/>
    <xf numFmtId="0" fontId="0" fillId="2" borderId="2" xfId="8" applyNumberFormat="1" applyFont="1" applyFill="1" applyBorder="1" applyAlignment="1">
      <alignment horizontal="right"/>
    </xf>
    <xf numFmtId="0" fontId="6" fillId="2" borderId="4" xfId="0" applyFont="1" applyFill="1" applyBorder="1"/>
    <xf numFmtId="0" fontId="5" fillId="2" borderId="0" xfId="0" applyFont="1" applyFill="1"/>
    <xf numFmtId="0" fontId="8" fillId="2" borderId="2" xfId="0" applyFont="1" applyFill="1" applyBorder="1"/>
    <xf numFmtId="0" fontId="8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5" fillId="2" borderId="0" xfId="0" applyFont="1" applyFill="1" applyBorder="1"/>
    <xf numFmtId="0" fontId="31" fillId="2" borderId="10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/>
    </xf>
    <xf numFmtId="0" fontId="31" fillId="2" borderId="2" xfId="0" applyFont="1" applyFill="1" applyBorder="1" applyAlignment="1"/>
    <xf numFmtId="0" fontId="31" fillId="2" borderId="2" xfId="0" applyFont="1" applyFill="1" applyBorder="1" applyAlignment="1">
      <alignment horizontal="center"/>
    </xf>
    <xf numFmtId="0" fontId="31" fillId="2" borderId="2" xfId="0" applyFont="1" applyFill="1" applyBorder="1"/>
    <xf numFmtId="0" fontId="31" fillId="2" borderId="2" xfId="0" applyFont="1" applyFill="1" applyBorder="1" applyAlignment="1">
      <alignment wrapText="1"/>
    </xf>
    <xf numFmtId="0" fontId="32" fillId="2" borderId="2" xfId="0" applyFont="1" applyFill="1" applyBorder="1" applyAlignment="1">
      <alignment horizontal="center"/>
    </xf>
    <xf numFmtId="1" fontId="32" fillId="2" borderId="2" xfId="0" applyNumberFormat="1" applyFont="1" applyFill="1" applyBorder="1" applyAlignment="1">
      <alignment horizontal="center"/>
    </xf>
    <xf numFmtId="165" fontId="31" fillId="2" borderId="2" xfId="0" applyNumberFormat="1" applyFont="1" applyFill="1" applyBorder="1"/>
    <xf numFmtId="0" fontId="31" fillId="2" borderId="2" xfId="0" applyFont="1" applyFill="1" applyBorder="1" applyAlignment="1">
      <alignment horizontal="center"/>
    </xf>
    <xf numFmtId="165" fontId="31" fillId="2" borderId="2" xfId="0" applyNumberFormat="1" applyFont="1" applyFill="1" applyBorder="1" applyAlignment="1">
      <alignment horizontal="center"/>
    </xf>
    <xf numFmtId="14" fontId="31" fillId="2" borderId="2" xfId="0" applyNumberFormat="1" applyFont="1" applyFill="1" applyBorder="1" applyAlignment="1"/>
    <xf numFmtId="165" fontId="30" fillId="2" borderId="2" xfId="0" applyNumberFormat="1" applyFont="1" applyFill="1" applyBorder="1" applyAlignment="1">
      <alignment horizontal="center"/>
    </xf>
    <xf numFmtId="165" fontId="32" fillId="2" borderId="2" xfId="0" applyNumberFormat="1" applyFont="1" applyFill="1" applyBorder="1" applyAlignment="1">
      <alignment horizontal="center"/>
    </xf>
    <xf numFmtId="16" fontId="31" fillId="2" borderId="2" xfId="0" applyNumberFormat="1" applyFont="1" applyFill="1" applyBorder="1" applyAlignment="1"/>
    <xf numFmtId="0" fontId="30" fillId="2" borderId="2" xfId="0" applyFont="1" applyFill="1" applyBorder="1" applyAlignment="1"/>
    <xf numFmtId="1" fontId="30" fillId="2" borderId="2" xfId="0" applyNumberFormat="1" applyFont="1" applyFill="1" applyBorder="1" applyAlignment="1">
      <alignment horizontal="center"/>
    </xf>
    <xf numFmtId="0" fontId="31" fillId="2" borderId="12" xfId="0" applyFont="1" applyFill="1" applyBorder="1"/>
    <xf numFmtId="0" fontId="31" fillId="2" borderId="12" xfId="0" applyFont="1" applyFill="1" applyBorder="1" applyAlignment="1"/>
    <xf numFmtId="0" fontId="8" fillId="2" borderId="3" xfId="0" applyFont="1" applyFill="1" applyBorder="1"/>
    <xf numFmtId="0" fontId="31" fillId="2" borderId="3" xfId="0" applyFont="1" applyFill="1" applyBorder="1"/>
    <xf numFmtId="0" fontId="17" fillId="2" borderId="0" xfId="0" applyFont="1" applyFill="1"/>
    <xf numFmtId="0" fontId="8" fillId="2" borderId="0" xfId="0" applyFont="1" applyFill="1" applyAlignment="1">
      <alignment horizontal="center" wrapText="1"/>
    </xf>
    <xf numFmtId="2" fontId="10" fillId="0" borderId="2" xfId="0" applyNumberFormat="1" applyFont="1" applyBorder="1"/>
    <xf numFmtId="2" fontId="0" fillId="0" borderId="0" xfId="0" applyNumberFormat="1" applyBorder="1"/>
    <xf numFmtId="2" fontId="10" fillId="0" borderId="0" xfId="0" applyNumberFormat="1" applyFont="1" applyBorder="1"/>
    <xf numFmtId="0" fontId="31" fillId="2" borderId="2" xfId="0" applyFont="1" applyFill="1" applyBorder="1" applyAlignment="1">
      <alignment wrapText="1"/>
    </xf>
    <xf numFmtId="0" fontId="31" fillId="2" borderId="2" xfId="0" applyFont="1" applyFill="1" applyBorder="1" applyAlignment="1">
      <alignment horizontal="center"/>
    </xf>
    <xf numFmtId="0" fontId="0" fillId="0" borderId="2" xfId="0" applyFill="1" applyBorder="1"/>
    <xf numFmtId="2" fontId="15" fillId="2" borderId="2" xfId="0" applyNumberFormat="1" applyFont="1" applyFill="1" applyBorder="1"/>
    <xf numFmtId="0" fontId="18" fillId="2" borderId="0" xfId="0" applyFont="1" applyFill="1" applyAlignment="1">
      <alignment horizontal="left" vertical="center" wrapText="1"/>
    </xf>
    <xf numFmtId="166" fontId="0" fillId="0" borderId="2" xfId="0" applyNumberFormat="1" applyBorder="1"/>
    <xf numFmtId="166" fontId="0" fillId="2" borderId="2" xfId="0" applyNumberFormat="1" applyFill="1" applyBorder="1"/>
    <xf numFmtId="167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49" fontId="8" fillId="0" borderId="5" xfId="0" applyNumberFormat="1" applyFont="1" applyBorder="1" applyAlignment="1">
      <alignment vertical="top"/>
    </xf>
    <xf numFmtId="49" fontId="8" fillId="0" borderId="2" xfId="0" applyNumberFormat="1" applyFont="1" applyBorder="1" applyAlignment="1">
      <alignment vertical="top"/>
    </xf>
    <xf numFmtId="0" fontId="20" fillId="0" borderId="5" xfId="2" applyFont="1" applyBorder="1">
      <alignment horizontal="center" vertical="center" wrapText="1"/>
    </xf>
    <xf numFmtId="0" fontId="21" fillId="0" borderId="14" xfId="2" applyFont="1" applyBorder="1">
      <alignment horizontal="center" vertical="center" wrapText="1"/>
    </xf>
    <xf numFmtId="0" fontId="21" fillId="0" borderId="2" xfId="2" applyFont="1" applyBorder="1">
      <alignment horizontal="center" vertical="center" wrapText="1"/>
    </xf>
    <xf numFmtId="4" fontId="21" fillId="3" borderId="2" xfId="3" applyNumberFormat="1" applyFont="1" applyFill="1" applyBorder="1" applyProtection="1">
      <alignment horizontal="right"/>
    </xf>
    <xf numFmtId="0" fontId="4" fillId="0" borderId="0" xfId="0" applyFont="1"/>
    <xf numFmtId="4" fontId="21" fillId="4" borderId="6" xfId="4" applyNumberFormat="1" applyFont="1" applyBorder="1">
      <alignment horizontal="right"/>
    </xf>
    <xf numFmtId="0" fontId="9" fillId="0" borderId="0" xfId="0" applyFont="1" applyAlignment="1"/>
    <xf numFmtId="2" fontId="0" fillId="8" borderId="2" xfId="0" applyNumberFormat="1" applyFill="1" applyBorder="1"/>
    <xf numFmtId="0" fontId="25" fillId="2" borderId="0" xfId="0" applyFont="1" applyFill="1"/>
    <xf numFmtId="1" fontId="10" fillId="2" borderId="2" xfId="0" applyNumberFormat="1" applyFont="1" applyFill="1" applyBorder="1"/>
    <xf numFmtId="0" fontId="0" fillId="9" borderId="2" xfId="0" applyFill="1" applyBorder="1"/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18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33" fillId="2" borderId="2" xfId="0" applyFont="1" applyFill="1" applyBorder="1"/>
    <xf numFmtId="165" fontId="33" fillId="2" borderId="2" xfId="0" applyNumberFormat="1" applyFont="1" applyFill="1" applyBorder="1"/>
    <xf numFmtId="0" fontId="33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23" fillId="2" borderId="2" xfId="0" applyFont="1" applyFill="1" applyBorder="1" applyAlignment="1">
      <alignment horizontal="right" wrapText="1"/>
    </xf>
    <xf numFmtId="0" fontId="0" fillId="10" borderId="2" xfId="0" applyFill="1" applyBorder="1"/>
    <xf numFmtId="2" fontId="0" fillId="9" borderId="2" xfId="0" applyNumberFormat="1" applyFill="1" applyBorder="1"/>
    <xf numFmtId="0" fontId="7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36" fillId="0" borderId="0" xfId="0" applyFont="1"/>
    <xf numFmtId="0" fontId="36" fillId="0" borderId="10" xfId="0" applyFont="1" applyBorder="1"/>
    <xf numFmtId="0" fontId="36" fillId="0" borderId="0" xfId="0" applyFont="1" applyFill="1"/>
    <xf numFmtId="0" fontId="36" fillId="0" borderId="0" xfId="0" applyFont="1" applyFill="1" applyBorder="1"/>
    <xf numFmtId="0" fontId="36" fillId="0" borderId="0" xfId="0" applyFont="1" applyFill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 vertical="center"/>
    </xf>
    <xf numFmtId="0" fontId="39" fillId="0" borderId="3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67" fontId="0" fillId="0" borderId="2" xfId="0" applyNumberFormat="1" applyBorder="1"/>
    <xf numFmtId="0" fontId="5" fillId="2" borderId="0" xfId="6" applyFont="1" applyFill="1" applyAlignment="1">
      <alignment horizontal="center" vertical="center" wrapText="1"/>
    </xf>
    <xf numFmtId="0" fontId="6" fillId="2" borderId="2" xfId="6" applyFont="1" applyFill="1" applyBorder="1" applyAlignment="1">
      <alignment vertical="center" wrapText="1"/>
    </xf>
    <xf numFmtId="2" fontId="6" fillId="2" borderId="0" xfId="0" applyNumberFormat="1" applyFont="1" applyFill="1"/>
    <xf numFmtId="0" fontId="10" fillId="2" borderId="2" xfId="0" applyFont="1" applyFill="1" applyBorder="1" applyAlignment="1">
      <alignment wrapText="1"/>
    </xf>
    <xf numFmtId="0" fontId="3" fillId="2" borderId="18" xfId="0" applyFont="1" applyFill="1" applyBorder="1" applyAlignment="1">
      <alignment horizontal="center" vertical="center" wrapText="1"/>
    </xf>
    <xf numFmtId="2" fontId="18" fillId="2" borderId="0" xfId="0" applyNumberFormat="1" applyFont="1" applyFill="1"/>
    <xf numFmtId="2" fontId="15" fillId="2" borderId="0" xfId="0" applyNumberFormat="1" applyFont="1" applyFill="1"/>
    <xf numFmtId="0" fontId="42" fillId="2" borderId="0" xfId="0" applyFont="1" applyFill="1"/>
    <xf numFmtId="0" fontId="6" fillId="2" borderId="0" xfId="0" applyFont="1" applyFill="1" applyAlignment="1">
      <alignment horizontal="right"/>
    </xf>
    <xf numFmtId="0" fontId="36" fillId="0" borderId="2" xfId="0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43" fillId="0" borderId="0" xfId="0" applyFont="1" applyFill="1"/>
    <xf numFmtId="0" fontId="24" fillId="2" borderId="18" xfId="0" applyFont="1" applyFill="1" applyBorder="1" applyAlignment="1">
      <alignment horizontal="center"/>
    </xf>
    <xf numFmtId="2" fontId="10" fillId="2" borderId="0" xfId="0" applyNumberFormat="1" applyFont="1" applyFill="1" applyBorder="1"/>
    <xf numFmtId="44" fontId="0" fillId="2" borderId="0" xfId="0" applyNumberFormat="1" applyFill="1" applyBorder="1"/>
    <xf numFmtId="44" fontId="10" fillId="2" borderId="0" xfId="0" applyNumberFormat="1" applyFont="1" applyFill="1" applyBorder="1"/>
    <xf numFmtId="0" fontId="7" fillId="9" borderId="2" xfId="0" applyFont="1" applyFill="1" applyBorder="1" applyAlignment="1">
      <alignment wrapText="1"/>
    </xf>
    <xf numFmtId="0" fontId="6" fillId="9" borderId="2" xfId="0" applyFont="1" applyFill="1" applyBorder="1"/>
    <xf numFmtId="2" fontId="5" fillId="9" borderId="2" xfId="0" applyNumberFormat="1" applyFont="1" applyFill="1" applyBorder="1"/>
    <xf numFmtId="49" fontId="10" fillId="2" borderId="2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left"/>
    </xf>
    <xf numFmtId="49" fontId="0" fillId="2" borderId="3" xfId="0" applyNumberFormat="1" applyFill="1" applyBorder="1" applyAlignment="1">
      <alignment horizontal="left"/>
    </xf>
    <xf numFmtId="0" fontId="24" fillId="2" borderId="0" xfId="0" applyFont="1" applyFill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38" fillId="13" borderId="26" xfId="0" applyFont="1" applyFill="1" applyBorder="1" applyAlignment="1">
      <alignment horizontal="center" vertical="center"/>
    </xf>
    <xf numFmtId="0" fontId="38" fillId="13" borderId="27" xfId="0" applyFont="1" applyFill="1" applyBorder="1" applyAlignment="1">
      <alignment horizontal="center" vertical="center"/>
    </xf>
    <xf numFmtId="0" fontId="38" fillId="13" borderId="28" xfId="0" applyFont="1" applyFill="1" applyBorder="1" applyAlignment="1">
      <alignment horizontal="center" vertical="center"/>
    </xf>
    <xf numFmtId="0" fontId="38" fillId="14" borderId="3" xfId="0" applyFont="1" applyFill="1" applyBorder="1" applyAlignment="1">
      <alignment horizontal="center" vertical="center"/>
    </xf>
    <xf numFmtId="0" fontId="40" fillId="14" borderId="3" xfId="0" applyFont="1" applyFill="1" applyBorder="1" applyAlignment="1">
      <alignment horizontal="center" vertical="center"/>
    </xf>
    <xf numFmtId="0" fontId="41" fillId="14" borderId="2" xfId="0" applyFont="1" applyFill="1" applyBorder="1" applyAlignment="1">
      <alignment horizontal="center" vertical="center"/>
    </xf>
    <xf numFmtId="0" fontId="38" fillId="14" borderId="31" xfId="0" applyFont="1" applyFill="1" applyBorder="1" applyAlignment="1">
      <alignment horizontal="center" vertical="center"/>
    </xf>
    <xf numFmtId="0" fontId="38" fillId="14" borderId="32" xfId="0" applyFont="1" applyFill="1" applyBorder="1" applyAlignment="1">
      <alignment horizontal="center" vertical="center"/>
    </xf>
    <xf numFmtId="0" fontId="38" fillId="14" borderId="33" xfId="0" applyFont="1" applyFill="1" applyBorder="1" applyAlignment="1">
      <alignment horizontal="center" vertical="center"/>
    </xf>
    <xf numFmtId="0" fontId="38" fillId="14" borderId="34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8" fillId="12" borderId="7" xfId="0" applyFont="1" applyFill="1" applyBorder="1" applyAlignment="1">
      <alignment horizontal="center" vertical="center"/>
    </xf>
    <xf numFmtId="0" fontId="38" fillId="12" borderId="8" xfId="0" applyFont="1" applyFill="1" applyBorder="1" applyAlignment="1">
      <alignment horizontal="center" vertical="center"/>
    </xf>
    <xf numFmtId="0" fontId="38" fillId="13" borderId="7" xfId="0" applyFont="1" applyFill="1" applyBorder="1" applyAlignment="1">
      <alignment horizontal="center" vertical="center"/>
    </xf>
    <xf numFmtId="0" fontId="38" fillId="13" borderId="8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8" fillId="12" borderId="24" xfId="0" applyFont="1" applyFill="1" applyBorder="1" applyAlignment="1">
      <alignment horizontal="center" vertical="center"/>
    </xf>
    <xf numFmtId="0" fontId="38" fillId="13" borderId="16" xfId="0" applyFont="1" applyFill="1" applyBorder="1" applyAlignment="1">
      <alignment horizontal="center" vertical="center"/>
    </xf>
    <xf numFmtId="0" fontId="38" fillId="13" borderId="17" xfId="0" applyFont="1" applyFill="1" applyBorder="1" applyAlignment="1">
      <alignment horizontal="center" vertical="center"/>
    </xf>
    <xf numFmtId="0" fontId="36" fillId="0" borderId="29" xfId="0" applyFont="1" applyBorder="1" applyAlignment="1">
      <alignment horizontal="center" vertical="center" wrapText="1"/>
    </xf>
    <xf numFmtId="0" fontId="38" fillId="11" borderId="26" xfId="0" applyFont="1" applyFill="1" applyBorder="1" applyAlignment="1">
      <alignment horizontal="center" vertical="center"/>
    </xf>
    <xf numFmtId="0" fontId="38" fillId="11" borderId="27" xfId="0" applyFont="1" applyFill="1" applyBorder="1" applyAlignment="1">
      <alignment horizontal="center" vertical="center"/>
    </xf>
    <xf numFmtId="0" fontId="38" fillId="12" borderId="2" xfId="0" applyFont="1" applyFill="1" applyBorder="1" applyAlignment="1">
      <alignment horizontal="center" vertical="center"/>
    </xf>
    <xf numFmtId="0" fontId="38" fillId="12" borderId="6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38" fillId="8" borderId="7" xfId="0" applyFont="1" applyFill="1" applyBorder="1" applyAlignment="1">
      <alignment horizontal="center" vertical="center" wrapText="1"/>
    </xf>
    <xf numFmtId="0" fontId="38" fillId="8" borderId="8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 applyProtection="1">
      <alignment horizontal="center" vertical="center" wrapText="1"/>
      <protection locked="0"/>
    </xf>
    <xf numFmtId="0" fontId="5" fillId="11" borderId="26" xfId="0" applyFont="1" applyFill="1" applyBorder="1" applyAlignment="1" applyProtection="1">
      <alignment horizontal="center" vertical="center" wrapText="1"/>
      <protection locked="0"/>
    </xf>
    <xf numFmtId="0" fontId="5" fillId="11" borderId="28" xfId="0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5" fillId="11" borderId="27" xfId="0" applyFont="1" applyFill="1" applyBorder="1" applyAlignment="1" applyProtection="1">
      <alignment horizontal="center" vertical="center" wrapText="1"/>
      <protection locked="0"/>
    </xf>
    <xf numFmtId="0" fontId="38" fillId="11" borderId="26" xfId="0" applyFont="1" applyFill="1" applyBorder="1" applyAlignment="1">
      <alignment horizontal="center" vertical="center" wrapText="1"/>
    </xf>
    <xf numFmtId="0" fontId="38" fillId="11" borderId="27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 wrapText="1"/>
    </xf>
    <xf numFmtId="0" fontId="36" fillId="0" borderId="25" xfId="0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0" fontId="12" fillId="7" borderId="0" xfId="1" applyFont="1" applyFill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3" fillId="0" borderId="13" xfId="2" applyBorder="1">
      <alignment horizontal="center" vertical="center" wrapText="1"/>
    </xf>
    <xf numFmtId="0" fontId="13" fillId="0" borderId="5" xfId="2" applyBorder="1">
      <alignment horizontal="center" vertical="center" wrapText="1"/>
    </xf>
    <xf numFmtId="0" fontId="13" fillId="0" borderId="14" xfId="2" applyBorder="1" applyAlignment="1">
      <alignment horizontal="center" vertical="center" wrapText="1"/>
    </xf>
    <xf numFmtId="0" fontId="13" fillId="0" borderId="2" xfId="2" applyBorder="1" applyAlignment="1">
      <alignment horizontal="center" vertical="center" wrapText="1"/>
    </xf>
    <xf numFmtId="0" fontId="13" fillId="0" borderId="14" xfId="2" applyBorder="1">
      <alignment horizontal="center" vertical="center" wrapText="1"/>
    </xf>
    <xf numFmtId="0" fontId="13" fillId="0" borderId="2" xfId="2" applyBorder="1">
      <alignment horizontal="center" vertical="center" wrapText="1"/>
    </xf>
    <xf numFmtId="0" fontId="0" fillId="7" borderId="0" xfId="0" applyFill="1" applyAlignment="1">
      <alignment horizontal="center"/>
    </xf>
    <xf numFmtId="49" fontId="0" fillId="0" borderId="5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center" vertical="top" wrapText="1"/>
    </xf>
    <xf numFmtId="49" fontId="0" fillId="0" borderId="9" xfId="0" applyNumberFormat="1" applyBorder="1" applyAlignment="1">
      <alignment vertical="top"/>
    </xf>
    <xf numFmtId="49" fontId="13" fillId="0" borderId="2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top"/>
    </xf>
    <xf numFmtId="49" fontId="0" fillId="0" borderId="16" xfId="0" applyNumberFormat="1" applyBorder="1" applyAlignment="1">
      <alignment horizontal="center" vertical="top"/>
    </xf>
    <xf numFmtId="49" fontId="8" fillId="0" borderId="5" xfId="0" applyNumberFormat="1" applyFont="1" applyBorder="1" applyAlignment="1">
      <alignment vertical="top"/>
    </xf>
    <xf numFmtId="49" fontId="8" fillId="0" borderId="2" xfId="0" applyNumberFormat="1" applyFont="1" applyBorder="1" applyAlignment="1">
      <alignment vertical="top"/>
    </xf>
    <xf numFmtId="0" fontId="20" fillId="0" borderId="13" xfId="2" applyFont="1" applyBorder="1">
      <alignment horizontal="center" vertical="center" wrapText="1"/>
    </xf>
    <xf numFmtId="0" fontId="20" fillId="0" borderId="5" xfId="2" applyFont="1" applyBorder="1">
      <alignment horizontal="center" vertical="center" wrapText="1"/>
    </xf>
    <xf numFmtId="0" fontId="21" fillId="0" borderId="14" xfId="2" applyFont="1" applyBorder="1">
      <alignment horizontal="center" vertical="center" wrapText="1"/>
    </xf>
    <xf numFmtId="0" fontId="21" fillId="0" borderId="2" xfId="2" applyFont="1" applyBorder="1">
      <alignment horizontal="center" vertical="center" wrapText="1"/>
    </xf>
    <xf numFmtId="0" fontId="12" fillId="7" borderId="0" xfId="1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 wrapText="1"/>
    </xf>
    <xf numFmtId="0" fontId="31" fillId="2" borderId="2" xfId="0" applyFont="1" applyFill="1" applyBorder="1" applyAlignment="1">
      <alignment vertical="center"/>
    </xf>
    <xf numFmtId="0" fontId="31" fillId="2" borderId="2" xfId="0" applyFont="1" applyFill="1" applyBorder="1" applyAlignment="1">
      <alignment wrapText="1"/>
    </xf>
    <xf numFmtId="0" fontId="31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0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0" xfId="6" applyFont="1" applyFill="1" applyAlignment="1">
      <alignment horizontal="center" vertical="center" wrapText="1"/>
    </xf>
    <xf numFmtId="0" fontId="6" fillId="2" borderId="10" xfId="6" applyFont="1" applyFill="1" applyBorder="1" applyAlignment="1">
      <alignment horizontal="center" vertical="center" wrapText="1"/>
    </xf>
    <xf numFmtId="0" fontId="6" fillId="2" borderId="3" xfId="6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wrapText="1"/>
    </xf>
    <xf numFmtId="0" fontId="10" fillId="2" borderId="18" xfId="0" applyFont="1" applyFill="1" applyBorder="1" applyAlignment="1">
      <alignment wrapText="1"/>
    </xf>
    <xf numFmtId="0" fontId="3" fillId="2" borderId="18" xfId="0" applyFont="1" applyFill="1" applyBorder="1" applyAlignment="1">
      <alignment horizontal="center" vertical="center" wrapText="1"/>
    </xf>
    <xf numFmtId="2" fontId="30" fillId="2" borderId="2" xfId="0" applyNumberFormat="1" applyFont="1" applyFill="1" applyBorder="1" applyAlignment="1">
      <alignment horizontal="center"/>
    </xf>
  </cellXfs>
  <cellStyles count="9">
    <cellStyle name="Заголовок" xfId="1"/>
    <cellStyle name="ЗаголовокСтолбца" xfId="2"/>
    <cellStyle name="Значение" xfId="3"/>
    <cellStyle name="Обычный" xfId="0" builtinId="0"/>
    <cellStyle name="Обычный 10" xfId="7"/>
    <cellStyle name="Обычный_тарифы на 2002г с 1-01" xfId="6"/>
    <cellStyle name="Финансовый" xfId="8" builtinId="3"/>
    <cellStyle name="Формула" xfId="4"/>
    <cellStyle name="ФормулаВБ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opLeftCell="A61" workbookViewId="0">
      <selection activeCell="D21" sqref="D21"/>
    </sheetView>
  </sheetViews>
  <sheetFormatPr defaultColWidth="8.77734375" defaultRowHeight="14.4" x14ac:dyDescent="0.3"/>
  <cols>
    <col min="1" max="1" width="6.88671875" style="3" customWidth="1"/>
    <col min="2" max="2" width="48.44140625" style="3" customWidth="1"/>
    <col min="3" max="3" width="12.33203125" style="3" customWidth="1"/>
    <col min="4" max="4" width="13.109375" style="3" customWidth="1"/>
    <col min="5" max="5" width="8.77734375" style="3"/>
    <col min="6" max="6" width="46" style="3" customWidth="1"/>
    <col min="7" max="7" width="7.33203125" style="3" customWidth="1"/>
    <col min="8" max="16384" width="8.77734375" style="3"/>
  </cols>
  <sheetData>
    <row r="1" spans="1:4" ht="39.6" customHeight="1" x14ac:dyDescent="0.3">
      <c r="A1" s="228" t="s">
        <v>596</v>
      </c>
      <c r="B1" s="228"/>
      <c r="C1" s="228"/>
      <c r="D1" s="228"/>
    </row>
    <row r="2" spans="1:4" x14ac:dyDescent="0.3">
      <c r="B2" s="211"/>
      <c r="D2" s="3" t="s">
        <v>151</v>
      </c>
    </row>
    <row r="3" spans="1:4" ht="43.2" x14ac:dyDescent="0.3">
      <c r="A3" s="27" t="s">
        <v>210</v>
      </c>
      <c r="B3" s="27" t="s">
        <v>87</v>
      </c>
      <c r="C3" s="28" t="s">
        <v>597</v>
      </c>
      <c r="D3" s="28" t="s">
        <v>598</v>
      </c>
    </row>
    <row r="4" spans="1:4" x14ac:dyDescent="0.3">
      <c r="A4" s="27">
        <v>1</v>
      </c>
      <c r="B4" s="26" t="s">
        <v>211</v>
      </c>
      <c r="C4" s="27"/>
      <c r="D4" s="27"/>
    </row>
    <row r="5" spans="1:4" x14ac:dyDescent="0.3">
      <c r="A5" s="108" t="s">
        <v>328</v>
      </c>
      <c r="B5" s="41" t="s">
        <v>329</v>
      </c>
      <c r="C5" s="41">
        <v>4388.18</v>
      </c>
      <c r="D5" s="41">
        <v>4388.18</v>
      </c>
    </row>
    <row r="6" spans="1:4" x14ac:dyDescent="0.3">
      <c r="A6" s="104" t="s">
        <v>330</v>
      </c>
      <c r="B6" s="28" t="s">
        <v>289</v>
      </c>
      <c r="C6" s="99">
        <v>3894.7</v>
      </c>
      <c r="D6" s="99">
        <v>3894.7</v>
      </c>
    </row>
    <row r="7" spans="1:4" x14ac:dyDescent="0.3">
      <c r="A7" s="104" t="s">
        <v>331</v>
      </c>
      <c r="B7" s="28" t="s">
        <v>286</v>
      </c>
      <c r="C7" s="27">
        <v>2156.71</v>
      </c>
      <c r="D7" s="27">
        <v>2156.71</v>
      </c>
    </row>
    <row r="8" spans="1:4" x14ac:dyDescent="0.3">
      <c r="A8" s="104" t="s">
        <v>332</v>
      </c>
      <c r="B8" s="28" t="s">
        <v>333</v>
      </c>
      <c r="C8" s="27">
        <v>1737.99</v>
      </c>
      <c r="D8" s="27">
        <v>1737.99</v>
      </c>
    </row>
    <row r="9" spans="1:4" ht="36" x14ac:dyDescent="0.3">
      <c r="A9" s="104" t="s">
        <v>335</v>
      </c>
      <c r="B9" s="28" t="s">
        <v>334</v>
      </c>
      <c r="C9" s="27">
        <v>493.48</v>
      </c>
      <c r="D9" s="27">
        <v>493.48</v>
      </c>
    </row>
    <row r="10" spans="1:4" x14ac:dyDescent="0.3">
      <c r="A10" s="107" t="s">
        <v>336</v>
      </c>
      <c r="B10" s="41" t="s">
        <v>212</v>
      </c>
      <c r="C10" s="103">
        <v>43186.23</v>
      </c>
      <c r="D10" s="41">
        <v>69500.97</v>
      </c>
    </row>
    <row r="11" spans="1:4" x14ac:dyDescent="0.3">
      <c r="A11" s="107" t="s">
        <v>337</v>
      </c>
      <c r="B11" s="41" t="s">
        <v>213</v>
      </c>
      <c r="C11" s="103">
        <v>6131.1</v>
      </c>
      <c r="D11" s="103">
        <f>6131.1+199</f>
        <v>6330.1</v>
      </c>
    </row>
    <row r="12" spans="1:4" x14ac:dyDescent="0.3">
      <c r="A12" s="109" t="s">
        <v>338</v>
      </c>
      <c r="B12" s="28" t="s">
        <v>339</v>
      </c>
      <c r="C12" s="99">
        <v>3273.8</v>
      </c>
      <c r="D12" s="99">
        <v>3273.8</v>
      </c>
    </row>
    <row r="13" spans="1:4" x14ac:dyDescent="0.3">
      <c r="A13" s="109" t="s">
        <v>340</v>
      </c>
      <c r="B13" s="28" t="s">
        <v>341</v>
      </c>
      <c r="C13" s="99">
        <v>2857.3</v>
      </c>
      <c r="D13" s="99">
        <v>2857.3</v>
      </c>
    </row>
    <row r="14" spans="1:4" x14ac:dyDescent="0.3">
      <c r="A14" s="104" t="s">
        <v>342</v>
      </c>
      <c r="B14" s="27" t="s">
        <v>94</v>
      </c>
      <c r="C14" s="99">
        <v>363.3</v>
      </c>
      <c r="D14" s="99">
        <v>363.3</v>
      </c>
    </row>
    <row r="15" spans="1:4" x14ac:dyDescent="0.3">
      <c r="A15" s="105" t="s">
        <v>356</v>
      </c>
      <c r="B15" s="28" t="s">
        <v>343</v>
      </c>
      <c r="C15" s="99">
        <v>194.55</v>
      </c>
      <c r="D15" s="99">
        <v>194.55</v>
      </c>
    </row>
    <row r="16" spans="1:4" x14ac:dyDescent="0.3">
      <c r="A16" s="105" t="s">
        <v>357</v>
      </c>
      <c r="B16" s="28" t="s">
        <v>344</v>
      </c>
      <c r="C16" s="27">
        <v>57.61</v>
      </c>
      <c r="D16" s="27">
        <v>57.61</v>
      </c>
    </row>
    <row r="17" spans="1:4" x14ac:dyDescent="0.3">
      <c r="A17" s="105" t="s">
        <v>358</v>
      </c>
      <c r="B17" s="28" t="s">
        <v>345</v>
      </c>
      <c r="C17" s="99"/>
      <c r="D17" s="99"/>
    </row>
    <row r="18" spans="1:4" x14ac:dyDescent="0.3">
      <c r="A18" s="105" t="s">
        <v>359</v>
      </c>
      <c r="B18" s="28" t="s">
        <v>306</v>
      </c>
      <c r="C18" s="27">
        <v>433.15</v>
      </c>
      <c r="D18" s="27">
        <v>433.15</v>
      </c>
    </row>
    <row r="19" spans="1:4" x14ac:dyDescent="0.3">
      <c r="A19" s="105" t="s">
        <v>360</v>
      </c>
      <c r="B19" s="28" t="s">
        <v>346</v>
      </c>
      <c r="C19" s="27">
        <v>0</v>
      </c>
      <c r="D19" s="27">
        <v>0</v>
      </c>
    </row>
    <row r="20" spans="1:4" x14ac:dyDescent="0.3">
      <c r="A20" s="105" t="s">
        <v>361</v>
      </c>
      <c r="B20" s="28" t="s">
        <v>347</v>
      </c>
      <c r="C20" s="27">
        <v>0</v>
      </c>
      <c r="D20" s="27">
        <v>0</v>
      </c>
    </row>
    <row r="21" spans="1:4" x14ac:dyDescent="0.3">
      <c r="A21" s="105" t="s">
        <v>362</v>
      </c>
      <c r="B21" s="28" t="s">
        <v>348</v>
      </c>
      <c r="C21" s="27">
        <v>0</v>
      </c>
      <c r="D21" s="27">
        <v>199</v>
      </c>
    </row>
    <row r="22" spans="1:4" x14ac:dyDescent="0.3">
      <c r="A22" s="105" t="s">
        <v>363</v>
      </c>
      <c r="B22" s="28" t="s">
        <v>349</v>
      </c>
      <c r="C22" s="27">
        <v>0</v>
      </c>
      <c r="D22" s="27">
        <v>0</v>
      </c>
    </row>
    <row r="23" spans="1:4" ht="24.6" x14ac:dyDescent="0.3">
      <c r="A23" s="105" t="s">
        <v>364</v>
      </c>
      <c r="B23" s="71" t="s">
        <v>351</v>
      </c>
      <c r="C23" s="27">
        <v>0</v>
      </c>
      <c r="D23" s="27">
        <v>0</v>
      </c>
    </row>
    <row r="24" spans="1:4" ht="28.8" x14ac:dyDescent="0.3">
      <c r="A24" s="105" t="s">
        <v>365</v>
      </c>
      <c r="B24" s="28" t="s">
        <v>350</v>
      </c>
      <c r="C24" s="27">
        <v>393.77</v>
      </c>
      <c r="D24" s="27">
        <v>393.77</v>
      </c>
    </row>
    <row r="25" spans="1:4" x14ac:dyDescent="0.3">
      <c r="A25" s="105" t="s">
        <v>366</v>
      </c>
      <c r="B25" s="100" t="s">
        <v>352</v>
      </c>
      <c r="C25" s="27">
        <v>192</v>
      </c>
      <c r="D25" s="27">
        <v>192</v>
      </c>
    </row>
    <row r="26" spans="1:4" x14ac:dyDescent="0.3">
      <c r="A26" s="105" t="s">
        <v>367</v>
      </c>
      <c r="B26" s="100" t="s">
        <v>353</v>
      </c>
      <c r="C26" s="27">
        <v>52.24</v>
      </c>
      <c r="D26" s="27">
        <v>52.24</v>
      </c>
    </row>
    <row r="27" spans="1:4" x14ac:dyDescent="0.3">
      <c r="A27" s="105" t="s">
        <v>368</v>
      </c>
      <c r="B27" s="28" t="s">
        <v>354</v>
      </c>
      <c r="C27" s="27">
        <v>0</v>
      </c>
      <c r="D27" s="27">
        <v>0</v>
      </c>
    </row>
    <row r="28" spans="1:4" x14ac:dyDescent="0.3">
      <c r="A28" s="105" t="s">
        <v>369</v>
      </c>
      <c r="B28" s="28" t="s">
        <v>355</v>
      </c>
      <c r="C28" s="27">
        <v>0</v>
      </c>
      <c r="D28" s="27">
        <v>0</v>
      </c>
    </row>
    <row r="29" spans="1:4" x14ac:dyDescent="0.3">
      <c r="A29" s="105" t="s">
        <v>370</v>
      </c>
      <c r="B29" s="28" t="s">
        <v>214</v>
      </c>
      <c r="C29" s="125">
        <v>1170.68</v>
      </c>
      <c r="D29" s="125">
        <v>1170.68</v>
      </c>
    </row>
    <row r="30" spans="1:4" x14ac:dyDescent="0.3">
      <c r="A30" s="110" t="s">
        <v>281</v>
      </c>
      <c r="B30" s="210" t="s">
        <v>371</v>
      </c>
      <c r="C30" s="103">
        <v>96.38</v>
      </c>
      <c r="D30" s="103">
        <v>96.38</v>
      </c>
    </row>
    <row r="31" spans="1:4" x14ac:dyDescent="0.3">
      <c r="A31" s="105" t="s">
        <v>376</v>
      </c>
      <c r="B31" s="28" t="s">
        <v>372</v>
      </c>
      <c r="C31" s="99">
        <v>96.38</v>
      </c>
      <c r="D31" s="99">
        <v>96.38</v>
      </c>
    </row>
    <row r="32" spans="1:4" x14ac:dyDescent="0.3">
      <c r="A32" s="105" t="s">
        <v>377</v>
      </c>
      <c r="B32" s="28" t="s">
        <v>373</v>
      </c>
      <c r="C32" s="99">
        <v>0</v>
      </c>
      <c r="D32" s="99">
        <v>0</v>
      </c>
    </row>
    <row r="33" spans="1:10" ht="24.6" customHeight="1" x14ac:dyDescent="0.3">
      <c r="A33" s="105" t="s">
        <v>378</v>
      </c>
      <c r="B33" s="28" t="s">
        <v>374</v>
      </c>
      <c r="C33" s="99">
        <v>0</v>
      </c>
      <c r="D33" s="99">
        <v>0</v>
      </c>
    </row>
    <row r="34" spans="1:10" ht="16.2" customHeight="1" x14ac:dyDescent="0.3">
      <c r="A34" s="105" t="s">
        <v>379</v>
      </c>
      <c r="B34" s="28" t="s">
        <v>375</v>
      </c>
      <c r="C34" s="99">
        <v>0</v>
      </c>
      <c r="D34" s="99">
        <v>0</v>
      </c>
    </row>
    <row r="35" spans="1:10" ht="30.6" customHeight="1" x14ac:dyDescent="0.3">
      <c r="A35" s="111" t="s">
        <v>380</v>
      </c>
      <c r="B35" s="210" t="s">
        <v>381</v>
      </c>
      <c r="C35" s="103">
        <v>424.28</v>
      </c>
      <c r="D35" s="103">
        <v>424.28</v>
      </c>
    </row>
    <row r="36" spans="1:10" x14ac:dyDescent="0.3">
      <c r="A36" s="105" t="s">
        <v>386</v>
      </c>
      <c r="B36" s="28" t="s">
        <v>382</v>
      </c>
      <c r="C36" s="99">
        <v>0</v>
      </c>
      <c r="D36" s="99">
        <v>0</v>
      </c>
    </row>
    <row r="37" spans="1:10" ht="22.8" customHeight="1" x14ac:dyDescent="0.3">
      <c r="A37" s="105" t="s">
        <v>387</v>
      </c>
      <c r="B37" s="71" t="s">
        <v>383</v>
      </c>
      <c r="C37" s="99">
        <v>424.28</v>
      </c>
      <c r="D37" s="99">
        <v>424.28</v>
      </c>
    </row>
    <row r="38" spans="1:10" ht="16.05" customHeight="1" x14ac:dyDescent="0.3">
      <c r="A38" s="105" t="s">
        <v>388</v>
      </c>
      <c r="B38" s="28" t="s">
        <v>384</v>
      </c>
      <c r="C38" s="99">
        <v>0</v>
      </c>
      <c r="D38" s="99">
        <v>0</v>
      </c>
    </row>
    <row r="39" spans="1:10" x14ac:dyDescent="0.3">
      <c r="A39" s="105" t="s">
        <v>389</v>
      </c>
      <c r="B39" s="28" t="s">
        <v>385</v>
      </c>
      <c r="C39" s="99">
        <v>0</v>
      </c>
      <c r="D39" s="99">
        <v>0</v>
      </c>
      <c r="E39" s="37"/>
      <c r="F39" s="37"/>
      <c r="G39" s="37"/>
      <c r="H39" s="37"/>
      <c r="I39" s="37"/>
      <c r="J39" s="37"/>
    </row>
    <row r="40" spans="1:10" x14ac:dyDescent="0.3">
      <c r="A40" s="105"/>
      <c r="B40" s="34" t="s">
        <v>215</v>
      </c>
      <c r="C40" s="103">
        <f t="shared" ref="C40:D40" si="0">C5+C10+C11+C30+C35</f>
        <v>54226.17</v>
      </c>
      <c r="D40" s="103">
        <f t="shared" si="0"/>
        <v>80739.91</v>
      </c>
      <c r="E40" s="37"/>
      <c r="F40" s="37"/>
      <c r="G40" s="37"/>
      <c r="H40" s="37"/>
      <c r="I40" s="37"/>
      <c r="J40" s="37"/>
    </row>
    <row r="41" spans="1:10" x14ac:dyDescent="0.3">
      <c r="A41" s="106"/>
      <c r="B41" s="101"/>
      <c r="C41" s="102"/>
      <c r="E41" s="37"/>
      <c r="F41" s="37"/>
      <c r="G41" s="37"/>
      <c r="H41" s="37"/>
      <c r="I41" s="37"/>
      <c r="J41" s="37"/>
    </row>
    <row r="42" spans="1:10" x14ac:dyDescent="0.3">
      <c r="A42" s="106"/>
      <c r="B42" s="101"/>
      <c r="C42" s="102"/>
    </row>
    <row r="43" spans="1:10" ht="43.8" customHeight="1" x14ac:dyDescent="0.3">
      <c r="A43" s="105"/>
      <c r="B43" s="113" t="s">
        <v>216</v>
      </c>
      <c r="C43" s="28" t="s">
        <v>597</v>
      </c>
      <c r="D43" s="28" t="s">
        <v>598</v>
      </c>
    </row>
    <row r="44" spans="1:10" x14ac:dyDescent="0.3">
      <c r="A44" s="27" t="s">
        <v>210</v>
      </c>
      <c r="B44" s="27" t="s">
        <v>87</v>
      </c>
      <c r="C44" s="27"/>
      <c r="D44" s="27"/>
    </row>
    <row r="45" spans="1:10" x14ac:dyDescent="0.3">
      <c r="A45" s="105" t="s">
        <v>390</v>
      </c>
      <c r="B45" s="114" t="s">
        <v>391</v>
      </c>
      <c r="C45" s="27">
        <v>9599.26</v>
      </c>
      <c r="D45" s="27">
        <v>11222.2</v>
      </c>
    </row>
    <row r="46" spans="1:10" x14ac:dyDescent="0.3">
      <c r="A46" s="105" t="s">
        <v>392</v>
      </c>
      <c r="B46" s="28" t="s">
        <v>393</v>
      </c>
      <c r="C46" s="27">
        <v>55.69</v>
      </c>
      <c r="D46" s="27">
        <v>53.55</v>
      </c>
    </row>
    <row r="47" spans="1:10" s="37" customFormat="1" x14ac:dyDescent="0.3">
      <c r="A47" s="105" t="s">
        <v>396</v>
      </c>
      <c r="B47" s="28" t="s">
        <v>394</v>
      </c>
      <c r="C47" s="27">
        <v>220.76</v>
      </c>
      <c r="D47" s="27">
        <v>212.27</v>
      </c>
      <c r="E47" s="3"/>
      <c r="F47" s="3"/>
      <c r="G47" s="3"/>
      <c r="H47" s="3"/>
      <c r="I47" s="3"/>
      <c r="J47" s="3"/>
    </row>
    <row r="48" spans="1:10" s="37" customFormat="1" x14ac:dyDescent="0.3">
      <c r="A48" s="105" t="s">
        <v>397</v>
      </c>
      <c r="B48" s="28" t="s">
        <v>395</v>
      </c>
      <c r="C48" s="27">
        <v>1153.02</v>
      </c>
      <c r="D48" s="27">
        <v>1153.02</v>
      </c>
      <c r="E48" s="3"/>
      <c r="F48" s="3"/>
      <c r="G48" s="3"/>
      <c r="H48" s="3"/>
      <c r="I48" s="3"/>
      <c r="J48" s="3"/>
    </row>
    <row r="49" spans="1:10" s="37" customFormat="1" x14ac:dyDescent="0.3">
      <c r="A49" s="105" t="s">
        <v>398</v>
      </c>
      <c r="B49" s="28" t="s">
        <v>399</v>
      </c>
      <c r="C49" s="27">
        <v>2938.3</v>
      </c>
      <c r="D49" s="27">
        <f>D51+D52+D53</f>
        <v>2940.46</v>
      </c>
      <c r="E49" s="3"/>
      <c r="F49" s="3"/>
      <c r="G49" s="3"/>
      <c r="H49" s="3"/>
      <c r="I49" s="3"/>
      <c r="J49" s="3"/>
    </row>
    <row r="50" spans="1:10" s="37" customFormat="1" x14ac:dyDescent="0.3">
      <c r="A50" s="105" t="s">
        <v>402</v>
      </c>
      <c r="B50" s="28" t="s">
        <v>400</v>
      </c>
      <c r="C50" s="27">
        <v>0</v>
      </c>
      <c r="D50" s="27">
        <v>0</v>
      </c>
      <c r="E50" s="3"/>
      <c r="F50" s="3"/>
      <c r="G50" s="3"/>
      <c r="H50" s="3"/>
      <c r="I50" s="3"/>
      <c r="J50" s="3"/>
    </row>
    <row r="51" spans="1:10" s="37" customFormat="1" x14ac:dyDescent="0.3">
      <c r="A51" s="105" t="s">
        <v>403</v>
      </c>
      <c r="B51" s="28" t="s">
        <v>303</v>
      </c>
      <c r="C51" s="27">
        <v>50.75</v>
      </c>
      <c r="D51" s="27">
        <v>52.91</v>
      </c>
      <c r="E51" s="3"/>
      <c r="F51" s="3"/>
      <c r="G51" s="3"/>
      <c r="H51" s="3"/>
      <c r="I51" s="3"/>
      <c r="J51" s="3"/>
    </row>
    <row r="52" spans="1:10" x14ac:dyDescent="0.3">
      <c r="A52" s="105" t="s">
        <v>404</v>
      </c>
      <c r="B52" s="28" t="s">
        <v>401</v>
      </c>
      <c r="C52" s="27">
        <v>20.149999999999999</v>
      </c>
      <c r="D52" s="27">
        <v>20.149999999999999</v>
      </c>
    </row>
    <row r="53" spans="1:10" x14ac:dyDescent="0.3">
      <c r="A53" s="105" t="s">
        <v>405</v>
      </c>
      <c r="B53" s="28" t="s">
        <v>304</v>
      </c>
      <c r="C53" s="27">
        <v>2867.4</v>
      </c>
      <c r="D53" s="27">
        <v>2867.4</v>
      </c>
    </row>
    <row r="54" spans="1:10" x14ac:dyDescent="0.3">
      <c r="A54" s="105" t="s">
        <v>406</v>
      </c>
      <c r="B54" s="28" t="s">
        <v>407</v>
      </c>
      <c r="C54" s="27">
        <v>13128.61</v>
      </c>
      <c r="D54" s="99">
        <f>D10*30.4%</f>
        <v>21128.294880000001</v>
      </c>
    </row>
    <row r="55" spans="1:10" x14ac:dyDescent="0.3">
      <c r="A55" s="105" t="s">
        <v>408</v>
      </c>
      <c r="B55" s="28" t="s">
        <v>217</v>
      </c>
      <c r="C55" s="27">
        <v>0</v>
      </c>
      <c r="D55" s="27"/>
    </row>
    <row r="56" spans="1:10" x14ac:dyDescent="0.3">
      <c r="A56" s="105" t="s">
        <v>415</v>
      </c>
      <c r="B56" s="28" t="s">
        <v>409</v>
      </c>
      <c r="C56" s="27">
        <v>106.07</v>
      </c>
      <c r="D56" s="27">
        <v>106.24</v>
      </c>
    </row>
    <row r="57" spans="1:10" ht="28.8" x14ac:dyDescent="0.3">
      <c r="A57" s="105" t="s">
        <v>416</v>
      </c>
      <c r="B57" s="28" t="s">
        <v>427</v>
      </c>
      <c r="C57" s="27">
        <v>0</v>
      </c>
      <c r="D57" s="27">
        <v>155.61000000000001</v>
      </c>
    </row>
    <row r="58" spans="1:10" x14ac:dyDescent="0.3">
      <c r="A58" s="105" t="s">
        <v>417</v>
      </c>
      <c r="B58" s="28" t="s">
        <v>410</v>
      </c>
      <c r="C58" s="27">
        <v>5891.47</v>
      </c>
      <c r="D58" s="27">
        <v>5891.47</v>
      </c>
    </row>
    <row r="59" spans="1:10" x14ac:dyDescent="0.3">
      <c r="A59" s="105" t="s">
        <v>418</v>
      </c>
      <c r="B59" s="28" t="s">
        <v>411</v>
      </c>
      <c r="C59" s="27"/>
      <c r="D59" s="27"/>
    </row>
    <row r="60" spans="1:10" x14ac:dyDescent="0.3">
      <c r="A60" s="105" t="s">
        <v>419</v>
      </c>
      <c r="B60" s="28" t="s">
        <v>412</v>
      </c>
      <c r="C60" s="27">
        <v>5891.47</v>
      </c>
      <c r="D60" s="27">
        <v>5891.47</v>
      </c>
    </row>
    <row r="61" spans="1:10" x14ac:dyDescent="0.3">
      <c r="A61" s="105" t="s">
        <v>420</v>
      </c>
      <c r="B61" s="28" t="s">
        <v>413</v>
      </c>
      <c r="C61" s="27"/>
      <c r="D61" s="27"/>
    </row>
    <row r="62" spans="1:10" ht="28.8" x14ac:dyDescent="0.3">
      <c r="A62" s="229" t="s">
        <v>421</v>
      </c>
      <c r="B62" s="28" t="s">
        <v>629</v>
      </c>
      <c r="C62" s="27"/>
      <c r="D62" s="27">
        <v>8060.47</v>
      </c>
    </row>
    <row r="63" spans="1:10" ht="28.8" x14ac:dyDescent="0.3">
      <c r="A63" s="230"/>
      <c r="B63" s="28" t="s">
        <v>630</v>
      </c>
      <c r="C63" s="27"/>
      <c r="D63" s="27">
        <v>20703.89</v>
      </c>
    </row>
    <row r="64" spans="1:10" x14ac:dyDescent="0.3">
      <c r="A64" s="105"/>
      <c r="B64" s="34" t="s">
        <v>219</v>
      </c>
      <c r="C64" s="41">
        <f>C45+C46+C47+C48+C49+C54+C56+C57+C58+C61+C62+0.01</f>
        <v>33093.19</v>
      </c>
      <c r="D64" s="103">
        <f>D45+D46+D47+D48+D49+D54+D56+D57+D58+D61+D62+D63</f>
        <v>71627.474879999994</v>
      </c>
      <c r="E64" s="37"/>
      <c r="F64" s="37"/>
      <c r="G64" s="37"/>
      <c r="H64" s="37"/>
      <c r="I64" s="37"/>
      <c r="J64" s="37"/>
    </row>
    <row r="65" spans="1:10" x14ac:dyDescent="0.3">
      <c r="A65" s="105"/>
      <c r="B65" s="34"/>
      <c r="C65" s="41"/>
      <c r="D65" s="27"/>
      <c r="E65" s="37"/>
      <c r="F65" s="37"/>
      <c r="G65" s="37"/>
      <c r="H65" s="37"/>
      <c r="I65" s="37"/>
      <c r="J65" s="37"/>
    </row>
    <row r="66" spans="1:10" x14ac:dyDescent="0.3">
      <c r="A66" s="226" t="s">
        <v>422</v>
      </c>
      <c r="B66" s="227"/>
      <c r="C66" s="227"/>
      <c r="D66" s="27"/>
    </row>
    <row r="67" spans="1:10" x14ac:dyDescent="0.3">
      <c r="A67" s="105" t="s">
        <v>423</v>
      </c>
      <c r="B67" s="28" t="s">
        <v>493</v>
      </c>
      <c r="C67" s="27"/>
      <c r="D67" s="27"/>
    </row>
    <row r="68" spans="1:10" ht="28.8" x14ac:dyDescent="0.3">
      <c r="A68" s="105" t="s">
        <v>424</v>
      </c>
      <c r="B68" s="28" t="s">
        <v>461</v>
      </c>
      <c r="C68" s="27"/>
      <c r="D68" s="27"/>
    </row>
    <row r="69" spans="1:10" ht="15.6" x14ac:dyDescent="0.3">
      <c r="A69" s="105" t="s">
        <v>452</v>
      </c>
      <c r="B69" s="115" t="s">
        <v>425</v>
      </c>
      <c r="C69" s="103">
        <f>C40+C64+C67</f>
        <v>87319.360000000001</v>
      </c>
      <c r="D69" s="103">
        <f>D40+D64+D67</f>
        <v>152367.38488</v>
      </c>
    </row>
    <row r="71" spans="1:10" ht="12" customHeight="1" x14ac:dyDescent="0.3"/>
    <row r="72" spans="1:10" ht="15" customHeight="1" x14ac:dyDescent="0.3">
      <c r="A72" s="45" t="s">
        <v>0</v>
      </c>
      <c r="B72" s="165"/>
      <c r="C72" s="3" t="s">
        <v>282</v>
      </c>
    </row>
    <row r="76" spans="1:10" s="37" customFormat="1" x14ac:dyDescent="0.3">
      <c r="A76" s="3"/>
      <c r="B76" s="3"/>
      <c r="C76" s="3"/>
      <c r="E76" s="3"/>
      <c r="F76" s="3"/>
      <c r="G76" s="3"/>
      <c r="H76" s="3"/>
      <c r="I76" s="3"/>
      <c r="J76" s="3"/>
    </row>
    <row r="77" spans="1:10" s="37" customFormat="1" ht="27.45" customHeight="1" x14ac:dyDescent="0.3">
      <c r="A77" s="3"/>
      <c r="B77" s="3"/>
      <c r="C77" s="3"/>
      <c r="E77" s="3"/>
      <c r="F77" s="3"/>
      <c r="G77" s="3"/>
      <c r="H77" s="3"/>
      <c r="I77" s="3"/>
      <c r="J77" s="3"/>
    </row>
  </sheetData>
  <mergeCells count="3">
    <mergeCell ref="A66:C66"/>
    <mergeCell ref="A1:D1"/>
    <mergeCell ref="A62:A6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6"/>
  <sheetViews>
    <sheetView topLeftCell="A4" workbookViewId="0">
      <selection activeCell="L11" sqref="L11"/>
    </sheetView>
  </sheetViews>
  <sheetFormatPr defaultRowHeight="14.4" x14ac:dyDescent="0.3"/>
  <cols>
    <col min="1" max="1" width="4.21875" customWidth="1"/>
    <col min="2" max="2" width="16.109375" customWidth="1"/>
    <col min="3" max="3" width="14.77734375" customWidth="1"/>
    <col min="4" max="4" width="13.5546875" customWidth="1"/>
    <col min="5" max="5" width="8.6640625" customWidth="1"/>
    <col min="6" max="6" width="0.44140625" customWidth="1"/>
    <col min="7" max="7" width="16.109375" customWidth="1"/>
    <col min="8" max="8" width="12" customWidth="1"/>
    <col min="9" max="9" width="8.109375" customWidth="1"/>
    <col min="10" max="10" width="12.5546875" customWidth="1"/>
    <col min="11" max="11" width="10.44140625" customWidth="1"/>
    <col min="12" max="12" width="13.5546875" customWidth="1"/>
  </cols>
  <sheetData>
    <row r="1" spans="1:12" ht="18" x14ac:dyDescent="0.35">
      <c r="D1" s="73" t="s">
        <v>507</v>
      </c>
    </row>
    <row r="2" spans="1:12" x14ac:dyDescent="0.3">
      <c r="A2" s="329" t="s">
        <v>508</v>
      </c>
      <c r="B2" s="329"/>
      <c r="C2" s="329"/>
      <c r="D2" s="329"/>
      <c r="E2" s="329"/>
      <c r="F2" s="329"/>
    </row>
    <row r="3" spans="1:12" x14ac:dyDescent="0.3">
      <c r="A3" s="329" t="s">
        <v>509</v>
      </c>
      <c r="B3" s="329"/>
      <c r="C3" s="329"/>
      <c r="D3" s="329"/>
      <c r="E3" s="329"/>
      <c r="F3" s="329"/>
    </row>
    <row r="5" spans="1:12" x14ac:dyDescent="0.3">
      <c r="A5" s="97" t="s">
        <v>510</v>
      </c>
      <c r="B5" s="97"/>
      <c r="C5" s="97"/>
      <c r="D5" s="97"/>
      <c r="E5" s="97"/>
      <c r="F5" s="97"/>
    </row>
    <row r="6" spans="1:12" x14ac:dyDescent="0.3">
      <c r="A6" s="97" t="s">
        <v>511</v>
      </c>
      <c r="B6" s="97"/>
      <c r="C6" s="97"/>
      <c r="D6" s="97"/>
      <c r="E6" s="97"/>
      <c r="F6" s="97"/>
    </row>
    <row r="7" spans="1:12" x14ac:dyDescent="0.3">
      <c r="A7" s="178" t="s">
        <v>512</v>
      </c>
      <c r="B7" s="178"/>
      <c r="C7" s="178"/>
      <c r="D7" s="178"/>
      <c r="E7" s="178"/>
      <c r="F7" s="178"/>
    </row>
    <row r="8" spans="1:12" x14ac:dyDescent="0.3">
      <c r="A8" s="25"/>
    </row>
    <row r="9" spans="1:12" ht="129.6" x14ac:dyDescent="0.3">
      <c r="A9" s="2" t="s">
        <v>513</v>
      </c>
      <c r="B9" s="42" t="s">
        <v>514</v>
      </c>
      <c r="C9" s="42" t="s">
        <v>515</v>
      </c>
      <c r="D9" s="42" t="s">
        <v>516</v>
      </c>
      <c r="E9" s="42" t="s">
        <v>463</v>
      </c>
      <c r="F9" s="42"/>
      <c r="G9" s="42" t="s">
        <v>517</v>
      </c>
      <c r="H9" s="42" t="s">
        <v>516</v>
      </c>
      <c r="I9" s="42" t="s">
        <v>464</v>
      </c>
      <c r="J9" s="42" t="s">
        <v>518</v>
      </c>
      <c r="K9" s="2" t="s">
        <v>466</v>
      </c>
      <c r="L9" s="42" t="s">
        <v>519</v>
      </c>
    </row>
    <row r="10" spans="1:12" x14ac:dyDescent="0.3">
      <c r="A10" s="2">
        <v>1</v>
      </c>
      <c r="B10" s="2">
        <f t="shared" ref="B10:B21" si="0">C10+G10</f>
        <v>2400752</v>
      </c>
      <c r="C10" s="2">
        <v>1400000</v>
      </c>
      <c r="D10" s="43">
        <f>C10*E10</f>
        <v>3215310</v>
      </c>
      <c r="E10" s="166">
        <v>2.2966500000000001</v>
      </c>
      <c r="F10" s="43"/>
      <c r="G10" s="2">
        <v>1000752</v>
      </c>
      <c r="H10" s="43">
        <f>G10*I10</f>
        <v>2340398.6572799999</v>
      </c>
      <c r="I10" s="166">
        <v>2.3386399999999998</v>
      </c>
      <c r="J10" s="43">
        <f t="shared" ref="J10:J21" si="1">D10+H10</f>
        <v>5555708.6572799999</v>
      </c>
      <c r="K10" s="43">
        <f>J10*18%</f>
        <v>1000027.5583104</v>
      </c>
      <c r="L10" s="43">
        <f t="shared" ref="L10:L11" si="2">J10+K10</f>
        <v>6555736.2155903997</v>
      </c>
    </row>
    <row r="11" spans="1:12" x14ac:dyDescent="0.3">
      <c r="A11" s="2">
        <v>2</v>
      </c>
      <c r="B11" s="2">
        <f t="shared" si="0"/>
        <v>1373174</v>
      </c>
      <c r="C11" s="2">
        <v>1300000</v>
      </c>
      <c r="D11" s="43">
        <f t="shared" ref="D11:D21" si="3">C11*E11</f>
        <v>3063177</v>
      </c>
      <c r="E11" s="166">
        <v>2.35629</v>
      </c>
      <c r="F11" s="43"/>
      <c r="G11" s="2">
        <v>73174</v>
      </c>
      <c r="H11" s="43">
        <f t="shared" ref="H11:H21" si="4">G11*I11</f>
        <v>175491.74072</v>
      </c>
      <c r="I11" s="166">
        <v>2.3982800000000002</v>
      </c>
      <c r="J11" s="43">
        <f t="shared" si="1"/>
        <v>3238668.7407200001</v>
      </c>
      <c r="K11" s="43">
        <f t="shared" ref="K11:K21" si="5">J11*18%</f>
        <v>582960.37332959997</v>
      </c>
      <c r="L11" s="179">
        <f t="shared" si="2"/>
        <v>3821629.1140496</v>
      </c>
    </row>
    <row r="12" spans="1:12" x14ac:dyDescent="0.3">
      <c r="A12" s="2">
        <v>3</v>
      </c>
      <c r="B12" s="2">
        <f t="shared" si="0"/>
        <v>1785962</v>
      </c>
      <c r="C12" s="2">
        <v>1160000</v>
      </c>
      <c r="D12" s="43">
        <f t="shared" si="3"/>
        <v>2621252</v>
      </c>
      <c r="E12" s="166">
        <v>2.2597</v>
      </c>
      <c r="F12" s="43"/>
      <c r="G12" s="2">
        <v>625962</v>
      </c>
      <c r="H12" s="43">
        <f t="shared" si="4"/>
        <v>1440770.47578</v>
      </c>
      <c r="I12" s="166">
        <v>2.3016899999999998</v>
      </c>
      <c r="J12" s="43">
        <f t="shared" si="1"/>
        <v>4062022.47578</v>
      </c>
      <c r="K12" s="43">
        <f t="shared" si="5"/>
        <v>731164.04564039991</v>
      </c>
      <c r="L12" s="43">
        <f>J12+K12+0.01</f>
        <v>4793186.5314203994</v>
      </c>
    </row>
    <row r="13" spans="1:12" x14ac:dyDescent="0.3">
      <c r="A13" s="2">
        <v>4</v>
      </c>
      <c r="B13" s="2">
        <f t="shared" si="0"/>
        <v>967510</v>
      </c>
      <c r="C13" s="2">
        <v>780000</v>
      </c>
      <c r="D13" s="43">
        <f t="shared" si="3"/>
        <v>1726561.2</v>
      </c>
      <c r="E13" s="166">
        <v>2.2135400000000001</v>
      </c>
      <c r="F13" s="43"/>
      <c r="G13" s="2">
        <v>187510</v>
      </c>
      <c r="H13" s="43">
        <f t="shared" si="4"/>
        <v>422934.43029999995</v>
      </c>
      <c r="I13" s="166">
        <v>2.2555299999999998</v>
      </c>
      <c r="J13" s="43">
        <f t="shared" si="1"/>
        <v>2149495.6302999998</v>
      </c>
      <c r="K13" s="43">
        <f t="shared" si="5"/>
        <v>386909.21345399995</v>
      </c>
      <c r="L13" s="43">
        <f>J13+K13+0.01</f>
        <v>2536404.8537539998</v>
      </c>
    </row>
    <row r="14" spans="1:12" x14ac:dyDescent="0.3">
      <c r="A14" s="2">
        <v>5</v>
      </c>
      <c r="B14" s="2">
        <f t="shared" si="0"/>
        <v>1182905</v>
      </c>
      <c r="C14" s="2">
        <v>680000</v>
      </c>
      <c r="D14" s="43">
        <f t="shared" si="3"/>
        <v>1443918.7999999998</v>
      </c>
      <c r="E14" s="166">
        <v>2.1234099999999998</v>
      </c>
      <c r="F14" s="43"/>
      <c r="G14" s="2">
        <v>502905</v>
      </c>
      <c r="H14" s="43">
        <f t="shared" si="4"/>
        <v>1088990.487</v>
      </c>
      <c r="I14" s="166">
        <v>2.1654</v>
      </c>
      <c r="J14" s="43">
        <f t="shared" si="1"/>
        <v>2532909.2869999995</v>
      </c>
      <c r="K14" s="43">
        <f t="shared" si="5"/>
        <v>455923.67165999988</v>
      </c>
      <c r="L14" s="179">
        <f>J14+K14</f>
        <v>2988832.9586599995</v>
      </c>
    </row>
    <row r="15" spans="1:12" x14ac:dyDescent="0.3">
      <c r="A15" s="2">
        <v>6</v>
      </c>
      <c r="B15" s="2">
        <f>C15+G15</f>
        <v>799369</v>
      </c>
      <c r="C15" s="2">
        <v>510000</v>
      </c>
      <c r="D15" s="43">
        <f t="shared" si="3"/>
        <v>1007040.9</v>
      </c>
      <c r="E15" s="166">
        <v>1.9745900000000001</v>
      </c>
      <c r="F15" s="43"/>
      <c r="G15" s="2">
        <v>289369</v>
      </c>
      <c r="H15" s="43">
        <f t="shared" si="4"/>
        <v>583535.73801999993</v>
      </c>
      <c r="I15" s="166">
        <v>2.0165799999999998</v>
      </c>
      <c r="J15" s="43">
        <f t="shared" si="1"/>
        <v>1590576.63802</v>
      </c>
      <c r="K15" s="43">
        <f t="shared" si="5"/>
        <v>286303.79484359996</v>
      </c>
      <c r="L15" s="99">
        <f>J15+K15</f>
        <v>1876880.4328635999</v>
      </c>
    </row>
    <row r="16" spans="1:12" x14ac:dyDescent="0.3">
      <c r="A16" s="2">
        <v>7</v>
      </c>
      <c r="B16" s="2">
        <f t="shared" si="0"/>
        <v>497768</v>
      </c>
      <c r="C16" s="2">
        <v>480000</v>
      </c>
      <c r="D16" s="43">
        <f t="shared" si="3"/>
        <v>908332.8</v>
      </c>
      <c r="E16" s="166">
        <v>1.89236</v>
      </c>
      <c r="F16" s="43"/>
      <c r="G16" s="2">
        <v>17768</v>
      </c>
      <c r="H16" s="43">
        <f t="shared" si="4"/>
        <v>31530.204400000002</v>
      </c>
      <c r="I16" s="166">
        <v>1.7745500000000001</v>
      </c>
      <c r="J16" s="43">
        <f t="shared" si="1"/>
        <v>939863.00440000009</v>
      </c>
      <c r="K16" s="43">
        <f t="shared" si="5"/>
        <v>169175.340792</v>
      </c>
      <c r="L16" s="99">
        <f>J16+K16-0.01</f>
        <v>1109038.335192</v>
      </c>
    </row>
    <row r="17" spans="1:12" x14ac:dyDescent="0.3">
      <c r="A17" s="2">
        <v>8</v>
      </c>
      <c r="B17" s="2">
        <f t="shared" si="0"/>
        <v>531453</v>
      </c>
      <c r="C17" s="2">
        <v>510000</v>
      </c>
      <c r="D17" s="43">
        <f t="shared" si="3"/>
        <v>916000.79999999993</v>
      </c>
      <c r="E17" s="166">
        <v>1.7960799999999999</v>
      </c>
      <c r="F17" s="43"/>
      <c r="G17" s="2">
        <v>21453</v>
      </c>
      <c r="H17" s="43">
        <f t="shared" si="4"/>
        <v>36003.926309999995</v>
      </c>
      <c r="I17" s="166">
        <v>1.6782699999999999</v>
      </c>
      <c r="J17" s="43">
        <f t="shared" si="1"/>
        <v>952004.72630999994</v>
      </c>
      <c r="K17" s="43">
        <f t="shared" si="5"/>
        <v>171360.85073579999</v>
      </c>
      <c r="L17" s="99">
        <f t="shared" ref="L17:L20" si="6">J17+K17</f>
        <v>1123365.5770457999</v>
      </c>
    </row>
    <row r="18" spans="1:12" x14ac:dyDescent="0.3">
      <c r="A18" s="2">
        <v>9</v>
      </c>
      <c r="B18" s="2">
        <f t="shared" si="0"/>
        <v>1037314</v>
      </c>
      <c r="C18" s="2">
        <v>830000</v>
      </c>
      <c r="D18" s="43">
        <f t="shared" si="3"/>
        <v>1764787.5000000002</v>
      </c>
      <c r="E18" s="166">
        <v>2.1262500000000002</v>
      </c>
      <c r="F18" s="43"/>
      <c r="G18" s="2">
        <v>207314</v>
      </c>
      <c r="H18" s="43">
        <f t="shared" si="4"/>
        <v>416377.73015999998</v>
      </c>
      <c r="I18" s="166">
        <v>2.0084399999999998</v>
      </c>
      <c r="J18" s="43">
        <f t="shared" si="1"/>
        <v>2181165.2301600003</v>
      </c>
      <c r="K18" s="43">
        <f t="shared" si="5"/>
        <v>392609.74142880004</v>
      </c>
      <c r="L18" s="43">
        <f t="shared" si="6"/>
        <v>2573774.9715888002</v>
      </c>
    </row>
    <row r="19" spans="1:12" x14ac:dyDescent="0.3">
      <c r="A19" s="2">
        <v>10</v>
      </c>
      <c r="B19" s="2">
        <v>740127</v>
      </c>
      <c r="C19" s="2">
        <v>940000</v>
      </c>
      <c r="D19" s="43">
        <f>B19*E19</f>
        <v>1655619.6913800002</v>
      </c>
      <c r="E19" s="166">
        <v>2.2369400000000002</v>
      </c>
      <c r="F19" s="43"/>
      <c r="G19" s="2"/>
      <c r="H19" s="43">
        <f t="shared" si="4"/>
        <v>0</v>
      </c>
      <c r="I19" s="166"/>
      <c r="J19" s="43">
        <f>B19*E19</f>
        <v>1655619.6913800002</v>
      </c>
      <c r="K19" s="43">
        <f t="shared" si="5"/>
        <v>298011.54444840003</v>
      </c>
      <c r="L19" s="43">
        <f>J19+K19-0.01</f>
        <v>1953631.2258284001</v>
      </c>
    </row>
    <row r="20" spans="1:12" x14ac:dyDescent="0.3">
      <c r="A20" s="2">
        <v>11</v>
      </c>
      <c r="B20" s="2">
        <f t="shared" si="0"/>
        <v>1530013</v>
      </c>
      <c r="C20" s="2">
        <v>1230000</v>
      </c>
      <c r="D20" s="43">
        <f t="shared" si="3"/>
        <v>2883771.9</v>
      </c>
      <c r="E20" s="166">
        <v>2.3445299999999998</v>
      </c>
      <c r="F20" s="43"/>
      <c r="G20" s="2">
        <v>300013</v>
      </c>
      <c r="H20" s="43">
        <f t="shared" si="4"/>
        <v>668044.94735999999</v>
      </c>
      <c r="I20" s="166">
        <v>2.2267199999999998</v>
      </c>
      <c r="J20" s="43">
        <f t="shared" si="1"/>
        <v>3551816.84736</v>
      </c>
      <c r="K20" s="43">
        <f t="shared" si="5"/>
        <v>639327.03252479993</v>
      </c>
      <c r="L20" s="43">
        <f t="shared" si="6"/>
        <v>4191143.8798847999</v>
      </c>
    </row>
    <row r="21" spans="1:12" x14ac:dyDescent="0.3">
      <c r="A21" s="2">
        <v>12</v>
      </c>
      <c r="B21" s="2">
        <f t="shared" si="0"/>
        <v>2226014</v>
      </c>
      <c r="C21" s="27">
        <v>1630000</v>
      </c>
      <c r="D21" s="99">
        <f t="shared" si="3"/>
        <v>3805952.2</v>
      </c>
      <c r="E21" s="167">
        <v>2.33494</v>
      </c>
      <c r="F21" s="99"/>
      <c r="G21" s="27">
        <v>596014</v>
      </c>
      <c r="H21" s="99">
        <f t="shared" si="4"/>
        <v>1321440.51982</v>
      </c>
      <c r="I21" s="167">
        <v>2.21713</v>
      </c>
      <c r="J21" s="99">
        <f t="shared" si="1"/>
        <v>5127392.7198200002</v>
      </c>
      <c r="K21" s="99">
        <f t="shared" si="5"/>
        <v>922930.68956760003</v>
      </c>
      <c r="L21" s="99">
        <f>J21+K21</f>
        <v>6050323.4093876006</v>
      </c>
    </row>
    <row r="22" spans="1:12" x14ac:dyDescent="0.3">
      <c r="A22" s="2" t="s">
        <v>88</v>
      </c>
      <c r="B22" s="38">
        <f>SUM(B10:B21)</f>
        <v>15072361</v>
      </c>
      <c r="C22" s="38">
        <f>SUM(C10:C21)</f>
        <v>11450000</v>
      </c>
      <c r="D22" s="158">
        <f>SUM(D10:D21)</f>
        <v>25011724.791379999</v>
      </c>
      <c r="E22" s="166">
        <f>D22/C22</f>
        <v>2.1844301127842796</v>
      </c>
      <c r="F22" s="43"/>
      <c r="G22" s="38">
        <f>SUM(G10:G21)</f>
        <v>3822234</v>
      </c>
      <c r="H22" s="158">
        <f>SUM(H10:H21)</f>
        <v>8525518.8571499996</v>
      </c>
      <c r="I22" s="158"/>
      <c r="J22" s="158">
        <f>SUM(J10:J21)</f>
        <v>33537243.648530006</v>
      </c>
      <c r="K22" s="158">
        <f t="shared" ref="K22:L22" si="7">SUM(K10:K21)</f>
        <v>6036703.8567353999</v>
      </c>
      <c r="L22" s="158">
        <f t="shared" si="7"/>
        <v>39573947.5052654</v>
      </c>
    </row>
    <row r="26" spans="1:12" x14ac:dyDescent="0.3">
      <c r="A26" t="s">
        <v>0</v>
      </c>
      <c r="D26" t="s">
        <v>282</v>
      </c>
    </row>
  </sheetData>
  <mergeCells count="2">
    <mergeCell ref="A2:F2"/>
    <mergeCell ref="A3:F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3:J26"/>
  <sheetViews>
    <sheetView workbookViewId="0">
      <selection activeCell="L24" sqref="L24"/>
    </sheetView>
  </sheetViews>
  <sheetFormatPr defaultRowHeight="14.4" x14ac:dyDescent="0.3"/>
  <cols>
    <col min="1" max="1" width="4.6640625" style="3" customWidth="1"/>
    <col min="2" max="2" width="10.88671875" style="3" customWidth="1"/>
    <col min="3" max="3" width="13.109375" style="3" customWidth="1"/>
    <col min="4" max="4" width="7.21875" style="3" customWidth="1"/>
    <col min="5" max="5" width="11.21875" style="3" customWidth="1"/>
    <col min="6" max="6" width="12" style="3" customWidth="1"/>
    <col min="7" max="7" width="10.44140625" style="3" customWidth="1"/>
    <col min="8" max="8" width="11.5546875" style="3" customWidth="1"/>
    <col min="9" max="9" width="13.21875" style="3" customWidth="1"/>
    <col min="10" max="10" width="12.77734375" style="3" customWidth="1"/>
    <col min="11" max="12" width="8.88671875" style="3"/>
    <col min="13" max="13" width="13.44140625" style="3" customWidth="1"/>
    <col min="14" max="14" width="8.88671875" style="3"/>
    <col min="15" max="15" width="11.21875" style="3" bestFit="1" customWidth="1"/>
    <col min="16" max="16384" width="8.88671875" style="3"/>
  </cols>
  <sheetData>
    <row r="3" spans="1:10" ht="18" x14ac:dyDescent="0.35">
      <c r="A3" s="180" t="s">
        <v>520</v>
      </c>
    </row>
    <row r="4" spans="1:10" ht="18" x14ac:dyDescent="0.35">
      <c r="A4" s="180" t="s">
        <v>521</v>
      </c>
      <c r="E4" s="180" t="s">
        <v>522</v>
      </c>
      <c r="H4" s="3" t="s">
        <v>107</v>
      </c>
    </row>
    <row r="5" spans="1:10" x14ac:dyDescent="0.3">
      <c r="A5" s="27"/>
      <c r="B5" s="330" t="s">
        <v>467</v>
      </c>
      <c r="C5" s="331"/>
      <c r="D5" s="332" t="s">
        <v>221</v>
      </c>
      <c r="E5" s="332"/>
      <c r="F5" s="332"/>
      <c r="G5" s="332"/>
      <c r="H5" s="332"/>
      <c r="I5" s="332" t="s">
        <v>523</v>
      </c>
      <c r="J5" s="332" t="s">
        <v>524</v>
      </c>
    </row>
    <row r="6" spans="1:10" ht="43.2" x14ac:dyDescent="0.3">
      <c r="A6" s="27" t="s">
        <v>468</v>
      </c>
      <c r="B6" s="27" t="s">
        <v>469</v>
      </c>
      <c r="C6" s="27" t="s">
        <v>465</v>
      </c>
      <c r="D6" s="28" t="s">
        <v>470</v>
      </c>
      <c r="E6" s="28" t="s">
        <v>471</v>
      </c>
      <c r="F6" s="28" t="s">
        <v>472</v>
      </c>
      <c r="G6" s="28" t="s">
        <v>473</v>
      </c>
      <c r="H6" s="28" t="s">
        <v>474</v>
      </c>
      <c r="I6" s="332"/>
      <c r="J6" s="332"/>
    </row>
    <row r="7" spans="1:10" x14ac:dyDescent="0.3">
      <c r="A7" s="27">
        <v>1</v>
      </c>
      <c r="B7" s="27">
        <v>8848526</v>
      </c>
      <c r="C7" s="99">
        <v>8951150.7799999993</v>
      </c>
      <c r="D7" s="27">
        <v>15.37</v>
      </c>
      <c r="E7" s="27">
        <v>402287.24</v>
      </c>
      <c r="F7" s="99">
        <f t="shared" ref="F7:F13" si="0">D7*E7</f>
        <v>6183154.8787999991</v>
      </c>
      <c r="G7" s="27">
        <v>312.82</v>
      </c>
      <c r="H7" s="99">
        <f t="shared" ref="H7:H22" si="1">B7*G7/1000</f>
        <v>2767995.90332</v>
      </c>
      <c r="I7" s="99">
        <f>F7+H7</f>
        <v>8951150.7821199987</v>
      </c>
      <c r="J7" s="27">
        <f>I7*1.18</f>
        <v>10562357.922901599</v>
      </c>
    </row>
    <row r="8" spans="1:10" x14ac:dyDescent="0.3">
      <c r="A8" s="27">
        <v>2</v>
      </c>
      <c r="B8" s="27">
        <v>8673241</v>
      </c>
      <c r="C8" s="27">
        <v>8896318.1300000008</v>
      </c>
      <c r="D8" s="27">
        <v>15.37</v>
      </c>
      <c r="E8" s="27">
        <v>402287.24</v>
      </c>
      <c r="F8" s="99">
        <f t="shared" si="0"/>
        <v>6183154.8787999991</v>
      </c>
      <c r="G8" s="27">
        <v>312.82</v>
      </c>
      <c r="H8" s="27">
        <f t="shared" si="1"/>
        <v>2713163.2496199999</v>
      </c>
      <c r="I8" s="99">
        <f t="shared" ref="I8:I22" si="2">F8+H8</f>
        <v>8896318.128419999</v>
      </c>
      <c r="J8" s="182">
        <f t="shared" ref="J8:J22" si="3">I8*1.18</f>
        <v>10497655.391535599</v>
      </c>
    </row>
    <row r="9" spans="1:10" x14ac:dyDescent="0.3">
      <c r="A9" s="27"/>
      <c r="B9" s="27">
        <v>-24161</v>
      </c>
      <c r="C9" s="27">
        <v>-7558.04</v>
      </c>
      <c r="D9" s="27"/>
      <c r="E9" s="27"/>
      <c r="F9" s="99"/>
      <c r="G9" s="27">
        <v>312.82</v>
      </c>
      <c r="H9" s="99">
        <f t="shared" ref="H9" si="4">B9*G9/1000</f>
        <v>-7558.0440199999994</v>
      </c>
      <c r="I9" s="99">
        <f t="shared" ref="I9" si="5">F9+H9</f>
        <v>-7558.0440199999994</v>
      </c>
      <c r="J9" s="99">
        <f>I9*1.18+0.01</f>
        <v>-8918.481943599998</v>
      </c>
    </row>
    <row r="10" spans="1:10" x14ac:dyDescent="0.3">
      <c r="A10" s="27">
        <v>3</v>
      </c>
      <c r="B10" s="27">
        <v>7594265</v>
      </c>
      <c r="C10" s="99">
        <v>8558792.8599999994</v>
      </c>
      <c r="D10" s="27">
        <v>15.37</v>
      </c>
      <c r="E10" s="27">
        <v>402287.24</v>
      </c>
      <c r="F10" s="99">
        <f t="shared" si="0"/>
        <v>6183154.8787999991</v>
      </c>
      <c r="G10" s="27">
        <v>312.82</v>
      </c>
      <c r="H10" s="27">
        <f t="shared" si="1"/>
        <v>2375637.9772999999</v>
      </c>
      <c r="I10" s="99">
        <f t="shared" si="2"/>
        <v>8558792.8560999986</v>
      </c>
      <c r="J10" s="27">
        <f t="shared" si="3"/>
        <v>10099375.570197998</v>
      </c>
    </row>
    <row r="11" spans="1:10" x14ac:dyDescent="0.3">
      <c r="A11" s="27">
        <v>4</v>
      </c>
      <c r="B11" s="27">
        <v>7277206</v>
      </c>
      <c r="C11" s="99">
        <v>8459610.4600000009</v>
      </c>
      <c r="D11" s="27">
        <v>15.37</v>
      </c>
      <c r="E11" s="27">
        <v>402287.24</v>
      </c>
      <c r="F11" s="99">
        <f t="shared" si="0"/>
        <v>6183154.8787999991</v>
      </c>
      <c r="G11" s="27">
        <v>312.82</v>
      </c>
      <c r="H11" s="27">
        <f t="shared" si="1"/>
        <v>2276455.5809200001</v>
      </c>
      <c r="I11" s="99">
        <f t="shared" si="2"/>
        <v>8459610.4597199988</v>
      </c>
      <c r="J11" s="99">
        <f t="shared" si="3"/>
        <v>9982340.3424695972</v>
      </c>
    </row>
    <row r="12" spans="1:10" x14ac:dyDescent="0.3">
      <c r="A12" s="27">
        <v>5</v>
      </c>
      <c r="B12" s="27">
        <v>6535948</v>
      </c>
      <c r="C12" s="99">
        <v>8227730.1299999999</v>
      </c>
      <c r="D12" s="27">
        <v>15.37</v>
      </c>
      <c r="E12" s="27">
        <v>402287.24</v>
      </c>
      <c r="F12" s="99">
        <f t="shared" si="0"/>
        <v>6183154.8787999991</v>
      </c>
      <c r="G12" s="27">
        <v>312.82</v>
      </c>
      <c r="H12" s="27">
        <f t="shared" si="1"/>
        <v>2044575.25336</v>
      </c>
      <c r="I12" s="99">
        <f t="shared" si="2"/>
        <v>8227730.1321599986</v>
      </c>
      <c r="J12" s="194">
        <f t="shared" si="3"/>
        <v>9708721.5559487976</v>
      </c>
    </row>
    <row r="13" spans="1:10" x14ac:dyDescent="0.3">
      <c r="A13" s="333">
        <v>6</v>
      </c>
      <c r="B13" s="27">
        <v>6477958</v>
      </c>
      <c r="C13" s="99">
        <v>8209589.7000000002</v>
      </c>
      <c r="D13" s="27">
        <v>15.37</v>
      </c>
      <c r="E13" s="27">
        <v>402287.24</v>
      </c>
      <c r="F13" s="99">
        <f t="shared" si="0"/>
        <v>6183154.8787999991</v>
      </c>
      <c r="G13" s="27">
        <v>312.82</v>
      </c>
      <c r="H13" s="27">
        <f t="shared" si="1"/>
        <v>2026434.8215599998</v>
      </c>
      <c r="I13" s="99">
        <f t="shared" si="2"/>
        <v>8209589.7003599992</v>
      </c>
      <c r="J13" s="99">
        <f t="shared" si="3"/>
        <v>9687315.8464247994</v>
      </c>
    </row>
    <row r="14" spans="1:10" x14ac:dyDescent="0.3">
      <c r="A14" s="334"/>
      <c r="B14" s="27">
        <v>-3384</v>
      </c>
      <c r="C14" s="99">
        <v>-1058.58</v>
      </c>
      <c r="D14" s="27"/>
      <c r="E14" s="27"/>
      <c r="F14" s="99"/>
      <c r="G14" s="27">
        <v>312.82</v>
      </c>
      <c r="H14" s="27">
        <f t="shared" si="1"/>
        <v>-1058.5828799999999</v>
      </c>
      <c r="I14" s="99">
        <f t="shared" si="2"/>
        <v>-1058.5828799999999</v>
      </c>
      <c r="J14" s="99">
        <f t="shared" si="3"/>
        <v>-1249.1277983999998</v>
      </c>
    </row>
    <row r="15" spans="1:10" x14ac:dyDescent="0.3">
      <c r="A15" s="27">
        <v>7</v>
      </c>
      <c r="B15" s="27">
        <v>6316518</v>
      </c>
      <c r="C15" s="99">
        <v>8334390.4900000002</v>
      </c>
      <c r="D15" s="27">
        <v>15.4</v>
      </c>
      <c r="E15" s="27">
        <v>406566.22</v>
      </c>
      <c r="F15" s="99">
        <f>D15*E15</f>
        <v>6261119.7879999997</v>
      </c>
      <c r="G15" s="27">
        <v>328.23</v>
      </c>
      <c r="H15" s="27">
        <f t="shared" si="1"/>
        <v>2073270.7031400001</v>
      </c>
      <c r="I15" s="99">
        <f t="shared" si="2"/>
        <v>8334390.4911399996</v>
      </c>
      <c r="J15" s="27">
        <f t="shared" si="3"/>
        <v>9834580.7795451991</v>
      </c>
    </row>
    <row r="16" spans="1:10" x14ac:dyDescent="0.3">
      <c r="A16" s="27"/>
      <c r="B16" s="27">
        <v>5690</v>
      </c>
      <c r="C16" s="99">
        <v>1867.63</v>
      </c>
      <c r="D16" s="27"/>
      <c r="E16" s="27"/>
      <c r="F16" s="99"/>
      <c r="G16" s="27">
        <v>328.23</v>
      </c>
      <c r="H16" s="99">
        <f t="shared" si="1"/>
        <v>1867.6287000000002</v>
      </c>
      <c r="I16" s="99">
        <f t="shared" si="2"/>
        <v>1867.6287000000002</v>
      </c>
      <c r="J16" s="99">
        <f t="shared" si="3"/>
        <v>2203.8018660000002</v>
      </c>
    </row>
    <row r="17" spans="1:10" x14ac:dyDescent="0.3">
      <c r="A17" s="27">
        <v>8</v>
      </c>
      <c r="B17" s="27">
        <v>6037672</v>
      </c>
      <c r="C17" s="99">
        <v>8242864.8700000001</v>
      </c>
      <c r="D17" s="27">
        <v>15.4</v>
      </c>
      <c r="E17" s="27">
        <v>406566.22</v>
      </c>
      <c r="F17" s="99">
        <f t="shared" ref="F17:F22" si="6">D17*E17</f>
        <v>6261119.7879999997</v>
      </c>
      <c r="G17" s="99">
        <v>328.23</v>
      </c>
      <c r="H17" s="27">
        <f t="shared" si="1"/>
        <v>1981745.0805600001</v>
      </c>
      <c r="I17" s="99">
        <f t="shared" si="2"/>
        <v>8242864.8685599994</v>
      </c>
      <c r="J17" s="99">
        <f>I17*1.18+0.01</f>
        <v>9726580.5549007989</v>
      </c>
    </row>
    <row r="18" spans="1:10" x14ac:dyDescent="0.3">
      <c r="A18" s="27"/>
      <c r="B18" s="27">
        <v>53768</v>
      </c>
      <c r="C18" s="99">
        <v>17648.27</v>
      </c>
      <c r="D18" s="27"/>
      <c r="E18" s="27"/>
      <c r="F18" s="99"/>
      <c r="G18" s="27">
        <v>328.23</v>
      </c>
      <c r="H18" s="99">
        <f t="shared" si="1"/>
        <v>17648.270639999999</v>
      </c>
      <c r="I18" s="99">
        <f t="shared" si="2"/>
        <v>17648.270639999999</v>
      </c>
      <c r="J18" s="99">
        <f>I18*1.18-0.01</f>
        <v>20824.949355199999</v>
      </c>
    </row>
    <row r="19" spans="1:10" x14ac:dyDescent="0.3">
      <c r="A19" s="27">
        <v>9</v>
      </c>
      <c r="B19" s="27">
        <v>6186779</v>
      </c>
      <c r="C19" s="99">
        <v>8291806.2599999998</v>
      </c>
      <c r="D19" s="27">
        <v>15.4</v>
      </c>
      <c r="E19" s="27">
        <v>406566.22</v>
      </c>
      <c r="F19" s="99">
        <f t="shared" si="6"/>
        <v>6261119.7879999997</v>
      </c>
      <c r="G19" s="27">
        <v>328.23</v>
      </c>
      <c r="H19" s="27">
        <f t="shared" si="1"/>
        <v>2030686.47117</v>
      </c>
      <c r="I19" s="99">
        <f t="shared" si="2"/>
        <v>8291806.2591699995</v>
      </c>
      <c r="J19" s="99">
        <f t="shared" si="3"/>
        <v>9784331.3858205993</v>
      </c>
    </row>
    <row r="20" spans="1:10" x14ac:dyDescent="0.3">
      <c r="A20" s="27">
        <v>10</v>
      </c>
      <c r="B20" s="27">
        <v>7712832</v>
      </c>
      <c r="C20" s="27">
        <v>8792702.6400000006</v>
      </c>
      <c r="D20" s="27">
        <v>15.4</v>
      </c>
      <c r="E20" s="27">
        <v>406566.22</v>
      </c>
      <c r="F20" s="99">
        <f t="shared" si="6"/>
        <v>6261119.7879999997</v>
      </c>
      <c r="G20" s="27">
        <v>328.23</v>
      </c>
      <c r="H20" s="27">
        <f t="shared" si="1"/>
        <v>2531582.84736</v>
      </c>
      <c r="I20" s="99">
        <f t="shared" si="2"/>
        <v>8792702.6353599988</v>
      </c>
      <c r="J20" s="27">
        <f t="shared" si="3"/>
        <v>10375389.109724797</v>
      </c>
    </row>
    <row r="21" spans="1:10" x14ac:dyDescent="0.3">
      <c r="A21" s="27">
        <v>11</v>
      </c>
      <c r="B21" s="27">
        <v>7922499</v>
      </c>
      <c r="C21" s="27">
        <v>8861521.6400000006</v>
      </c>
      <c r="D21" s="27">
        <v>15.4</v>
      </c>
      <c r="E21" s="27">
        <v>406566.22</v>
      </c>
      <c r="F21" s="99">
        <f t="shared" si="6"/>
        <v>6261119.7879999997</v>
      </c>
      <c r="G21" s="27">
        <v>328.23</v>
      </c>
      <c r="H21" s="27">
        <f t="shared" si="1"/>
        <v>2600401.8467700002</v>
      </c>
      <c r="I21" s="99">
        <f>F21+H21+0.01</f>
        <v>8861521.6447700001</v>
      </c>
      <c r="J21" s="27">
        <f>I21*1.18-0.01</f>
        <v>10456595.530828601</v>
      </c>
    </row>
    <row r="22" spans="1:10" x14ac:dyDescent="0.3">
      <c r="A22" s="27">
        <v>12</v>
      </c>
      <c r="B22" s="27">
        <v>9068879</v>
      </c>
      <c r="C22" s="27">
        <v>9237797.9399999995</v>
      </c>
      <c r="D22" s="27">
        <v>15.4</v>
      </c>
      <c r="E22" s="27">
        <v>406566.22</v>
      </c>
      <c r="F22" s="99">
        <f t="shared" si="6"/>
        <v>6261119.7879999997</v>
      </c>
      <c r="G22" s="27">
        <v>328.23</v>
      </c>
      <c r="H22" s="27">
        <f t="shared" si="1"/>
        <v>2976678.15417</v>
      </c>
      <c r="I22" s="99">
        <f t="shared" si="2"/>
        <v>9237797.9421699997</v>
      </c>
      <c r="J22" s="27">
        <f t="shared" si="3"/>
        <v>10900601.571760599</v>
      </c>
    </row>
    <row r="23" spans="1:10" x14ac:dyDescent="0.3">
      <c r="A23" s="27" t="s">
        <v>321</v>
      </c>
      <c r="B23" s="41">
        <f>SUM(B7:B22)</f>
        <v>88684236</v>
      </c>
      <c r="C23" s="103">
        <f t="shared" ref="C23" si="7">SUM(C7:C22)</f>
        <v>103075175.18000001</v>
      </c>
      <c r="D23" s="27"/>
      <c r="E23" s="27"/>
      <c r="F23" s="181">
        <f t="shared" ref="F23" si="8">SUM(F7:F22)</f>
        <v>74665648.000799999</v>
      </c>
      <c r="G23" s="27"/>
      <c r="H23" s="41">
        <f t="shared" ref="H23" si="9">SUM(H7:H22)</f>
        <v>28409527.161689997</v>
      </c>
      <c r="I23" s="103">
        <f>SUM(I7:I22)</f>
        <v>103075175.17248999</v>
      </c>
      <c r="J23" s="103">
        <f>SUM(J7:J22)</f>
        <v>121628706.70353815</v>
      </c>
    </row>
    <row r="24" spans="1:10" x14ac:dyDescent="0.3">
      <c r="A24" s="37"/>
      <c r="B24" s="69"/>
      <c r="C24" s="69"/>
      <c r="D24" s="37"/>
      <c r="E24" s="37"/>
      <c r="F24" s="69"/>
      <c r="G24" s="37"/>
      <c r="H24" s="69"/>
      <c r="I24" s="102"/>
    </row>
    <row r="25" spans="1:10" x14ac:dyDescent="0.3">
      <c r="A25" s="37"/>
      <c r="B25" s="69"/>
      <c r="C25" s="69"/>
      <c r="D25" s="37"/>
      <c r="E25" s="37"/>
      <c r="F25" s="69"/>
      <c r="G25" s="37"/>
      <c r="H25" s="69"/>
      <c r="I25" s="102"/>
    </row>
    <row r="26" spans="1:10" x14ac:dyDescent="0.3">
      <c r="A26" s="37"/>
      <c r="B26" s="69" t="s">
        <v>0</v>
      </c>
      <c r="C26" s="69"/>
      <c r="D26" s="37"/>
      <c r="E26" s="37"/>
      <c r="F26" s="69" t="s">
        <v>282</v>
      </c>
      <c r="G26" s="37"/>
      <c r="H26" s="69"/>
      <c r="I26" s="102"/>
    </row>
  </sheetData>
  <mergeCells count="5">
    <mergeCell ref="B5:C5"/>
    <mergeCell ref="D5:H5"/>
    <mergeCell ref="I5:I6"/>
    <mergeCell ref="J5:J6"/>
    <mergeCell ref="A13:A1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workbookViewId="0">
      <pane xSplit="2" ySplit="6" topLeftCell="G37" activePane="bottomRight" state="frozen"/>
      <selection pane="topRight" activeCell="C1" sqref="C1"/>
      <selection pane="bottomLeft" activeCell="A7" sqref="A7"/>
      <selection pane="bottomRight" activeCell="T32" sqref="T32"/>
    </sheetView>
  </sheetViews>
  <sheetFormatPr defaultColWidth="9.21875" defaultRowHeight="13.2" outlineLevelCol="1" x14ac:dyDescent="0.25"/>
  <cols>
    <col min="1" max="1" width="8.33203125" style="4" customWidth="1"/>
    <col min="2" max="2" width="43.33203125" style="4" customWidth="1"/>
    <col min="3" max="3" width="7.21875" style="4" hidden="1" customWidth="1" outlineLevel="1"/>
    <col min="4" max="4" width="8.21875" style="4" hidden="1" customWidth="1" outlineLevel="1"/>
    <col min="5" max="5" width="8.6640625" style="4" hidden="1" customWidth="1" outlineLevel="1"/>
    <col min="6" max="6" width="9.6640625" style="4" hidden="1" customWidth="1" outlineLevel="1"/>
    <col min="7" max="13" width="9.21875" style="4" hidden="1" customWidth="1" outlineLevel="1"/>
    <col min="14" max="14" width="8.21875" style="4" hidden="1" customWidth="1" outlineLevel="1"/>
    <col min="15" max="17" width="9.21875" style="4" hidden="1" customWidth="1" outlineLevel="1"/>
    <col min="18" max="18" width="9.44140625" style="4" bestFit="1" customWidth="1" collapsed="1"/>
    <col min="19" max="245" width="9.21875" style="4"/>
    <col min="246" max="246" width="6.44140625" style="4" customWidth="1"/>
    <col min="247" max="247" width="47.77734375" style="4" customWidth="1"/>
    <col min="248" max="248" width="12.77734375" style="4" customWidth="1"/>
    <col min="249" max="249" width="14.44140625" style="4" customWidth="1"/>
    <col min="250" max="250" width="12.21875" style="4" customWidth="1"/>
    <col min="251" max="252" width="11.77734375" style="4" customWidth="1"/>
    <col min="253" max="501" width="9.21875" style="4"/>
    <col min="502" max="502" width="6.44140625" style="4" customWidth="1"/>
    <col min="503" max="503" width="47.77734375" style="4" customWidth="1"/>
    <col min="504" max="504" width="12.77734375" style="4" customWidth="1"/>
    <col min="505" max="505" width="14.44140625" style="4" customWidth="1"/>
    <col min="506" max="506" width="12.21875" style="4" customWidth="1"/>
    <col min="507" max="508" width="11.77734375" style="4" customWidth="1"/>
    <col min="509" max="757" width="9.21875" style="4"/>
    <col min="758" max="758" width="6.44140625" style="4" customWidth="1"/>
    <col min="759" max="759" width="47.77734375" style="4" customWidth="1"/>
    <col min="760" max="760" width="12.77734375" style="4" customWidth="1"/>
    <col min="761" max="761" width="14.44140625" style="4" customWidth="1"/>
    <col min="762" max="762" width="12.21875" style="4" customWidth="1"/>
    <col min="763" max="764" width="11.77734375" style="4" customWidth="1"/>
    <col min="765" max="1013" width="9.21875" style="4"/>
    <col min="1014" max="1014" width="6.44140625" style="4" customWidth="1"/>
    <col min="1015" max="1015" width="47.77734375" style="4" customWidth="1"/>
    <col min="1016" max="1016" width="12.77734375" style="4" customWidth="1"/>
    <col min="1017" max="1017" width="14.44140625" style="4" customWidth="1"/>
    <col min="1018" max="1018" width="12.21875" style="4" customWidth="1"/>
    <col min="1019" max="1020" width="11.77734375" style="4" customWidth="1"/>
    <col min="1021" max="1269" width="9.21875" style="4"/>
    <col min="1270" max="1270" width="6.44140625" style="4" customWidth="1"/>
    <col min="1271" max="1271" width="47.77734375" style="4" customWidth="1"/>
    <col min="1272" max="1272" width="12.77734375" style="4" customWidth="1"/>
    <col min="1273" max="1273" width="14.44140625" style="4" customWidth="1"/>
    <col min="1274" max="1274" width="12.21875" style="4" customWidth="1"/>
    <col min="1275" max="1276" width="11.77734375" style="4" customWidth="1"/>
    <col min="1277" max="1525" width="9.21875" style="4"/>
    <col min="1526" max="1526" width="6.44140625" style="4" customWidth="1"/>
    <col min="1527" max="1527" width="47.77734375" style="4" customWidth="1"/>
    <col min="1528" max="1528" width="12.77734375" style="4" customWidth="1"/>
    <col min="1529" max="1529" width="14.44140625" style="4" customWidth="1"/>
    <col min="1530" max="1530" width="12.21875" style="4" customWidth="1"/>
    <col min="1531" max="1532" width="11.77734375" style="4" customWidth="1"/>
    <col min="1533" max="1781" width="9.21875" style="4"/>
    <col min="1782" max="1782" width="6.44140625" style="4" customWidth="1"/>
    <col min="1783" max="1783" width="47.77734375" style="4" customWidth="1"/>
    <col min="1784" max="1784" width="12.77734375" style="4" customWidth="1"/>
    <col min="1785" max="1785" width="14.44140625" style="4" customWidth="1"/>
    <col min="1786" max="1786" width="12.21875" style="4" customWidth="1"/>
    <col min="1787" max="1788" width="11.77734375" style="4" customWidth="1"/>
    <col min="1789" max="2037" width="9.21875" style="4"/>
    <col min="2038" max="2038" width="6.44140625" style="4" customWidth="1"/>
    <col min="2039" max="2039" width="47.77734375" style="4" customWidth="1"/>
    <col min="2040" max="2040" width="12.77734375" style="4" customWidth="1"/>
    <col min="2041" max="2041" width="14.44140625" style="4" customWidth="1"/>
    <col min="2042" max="2042" width="12.21875" style="4" customWidth="1"/>
    <col min="2043" max="2044" width="11.77734375" style="4" customWidth="1"/>
    <col min="2045" max="2293" width="9.21875" style="4"/>
    <col min="2294" max="2294" width="6.44140625" style="4" customWidth="1"/>
    <col min="2295" max="2295" width="47.77734375" style="4" customWidth="1"/>
    <col min="2296" max="2296" width="12.77734375" style="4" customWidth="1"/>
    <col min="2297" max="2297" width="14.44140625" style="4" customWidth="1"/>
    <col min="2298" max="2298" width="12.21875" style="4" customWidth="1"/>
    <col min="2299" max="2300" width="11.77734375" style="4" customWidth="1"/>
    <col min="2301" max="2549" width="9.21875" style="4"/>
    <col min="2550" max="2550" width="6.44140625" style="4" customWidth="1"/>
    <col min="2551" max="2551" width="47.77734375" style="4" customWidth="1"/>
    <col min="2552" max="2552" width="12.77734375" style="4" customWidth="1"/>
    <col min="2553" max="2553" width="14.44140625" style="4" customWidth="1"/>
    <col min="2554" max="2554" width="12.21875" style="4" customWidth="1"/>
    <col min="2555" max="2556" width="11.77734375" style="4" customWidth="1"/>
    <col min="2557" max="2805" width="9.21875" style="4"/>
    <col min="2806" max="2806" width="6.44140625" style="4" customWidth="1"/>
    <col min="2807" max="2807" width="47.77734375" style="4" customWidth="1"/>
    <col min="2808" max="2808" width="12.77734375" style="4" customWidth="1"/>
    <col min="2809" max="2809" width="14.44140625" style="4" customWidth="1"/>
    <col min="2810" max="2810" width="12.21875" style="4" customWidth="1"/>
    <col min="2811" max="2812" width="11.77734375" style="4" customWidth="1"/>
    <col min="2813" max="3061" width="9.21875" style="4"/>
    <col min="3062" max="3062" width="6.44140625" style="4" customWidth="1"/>
    <col min="3063" max="3063" width="47.77734375" style="4" customWidth="1"/>
    <col min="3064" max="3064" width="12.77734375" style="4" customWidth="1"/>
    <col min="3065" max="3065" width="14.44140625" style="4" customWidth="1"/>
    <col min="3066" max="3066" width="12.21875" style="4" customWidth="1"/>
    <col min="3067" max="3068" width="11.77734375" style="4" customWidth="1"/>
    <col min="3069" max="3317" width="9.21875" style="4"/>
    <col min="3318" max="3318" width="6.44140625" style="4" customWidth="1"/>
    <col min="3319" max="3319" width="47.77734375" style="4" customWidth="1"/>
    <col min="3320" max="3320" width="12.77734375" style="4" customWidth="1"/>
    <col min="3321" max="3321" width="14.44140625" style="4" customWidth="1"/>
    <col min="3322" max="3322" width="12.21875" style="4" customWidth="1"/>
    <col min="3323" max="3324" width="11.77734375" style="4" customWidth="1"/>
    <col min="3325" max="3573" width="9.21875" style="4"/>
    <col min="3574" max="3574" width="6.44140625" style="4" customWidth="1"/>
    <col min="3575" max="3575" width="47.77734375" style="4" customWidth="1"/>
    <col min="3576" max="3576" width="12.77734375" style="4" customWidth="1"/>
    <col min="3577" max="3577" width="14.44140625" style="4" customWidth="1"/>
    <col min="3578" max="3578" width="12.21875" style="4" customWidth="1"/>
    <col min="3579" max="3580" width="11.77734375" style="4" customWidth="1"/>
    <col min="3581" max="3829" width="9.21875" style="4"/>
    <col min="3830" max="3830" width="6.44140625" style="4" customWidth="1"/>
    <col min="3831" max="3831" width="47.77734375" style="4" customWidth="1"/>
    <col min="3832" max="3832" width="12.77734375" style="4" customWidth="1"/>
    <col min="3833" max="3833" width="14.44140625" style="4" customWidth="1"/>
    <col min="3834" max="3834" width="12.21875" style="4" customWidth="1"/>
    <col min="3835" max="3836" width="11.77734375" style="4" customWidth="1"/>
    <col min="3837" max="4085" width="9.21875" style="4"/>
    <col min="4086" max="4086" width="6.44140625" style="4" customWidth="1"/>
    <col min="4087" max="4087" width="47.77734375" style="4" customWidth="1"/>
    <col min="4088" max="4088" width="12.77734375" style="4" customWidth="1"/>
    <col min="4089" max="4089" width="14.44140625" style="4" customWidth="1"/>
    <col min="4090" max="4090" width="12.21875" style="4" customWidth="1"/>
    <col min="4091" max="4092" width="11.77734375" style="4" customWidth="1"/>
    <col min="4093" max="4341" width="9.21875" style="4"/>
    <col min="4342" max="4342" width="6.44140625" style="4" customWidth="1"/>
    <col min="4343" max="4343" width="47.77734375" style="4" customWidth="1"/>
    <col min="4344" max="4344" width="12.77734375" style="4" customWidth="1"/>
    <col min="4345" max="4345" width="14.44140625" style="4" customWidth="1"/>
    <col min="4346" max="4346" width="12.21875" style="4" customWidth="1"/>
    <col min="4347" max="4348" width="11.77734375" style="4" customWidth="1"/>
    <col min="4349" max="4597" width="9.21875" style="4"/>
    <col min="4598" max="4598" width="6.44140625" style="4" customWidth="1"/>
    <col min="4599" max="4599" width="47.77734375" style="4" customWidth="1"/>
    <col min="4600" max="4600" width="12.77734375" style="4" customWidth="1"/>
    <col min="4601" max="4601" width="14.44140625" style="4" customWidth="1"/>
    <col min="4602" max="4602" width="12.21875" style="4" customWidth="1"/>
    <col min="4603" max="4604" width="11.77734375" style="4" customWidth="1"/>
    <col min="4605" max="4853" width="9.21875" style="4"/>
    <col min="4854" max="4854" width="6.44140625" style="4" customWidth="1"/>
    <col min="4855" max="4855" width="47.77734375" style="4" customWidth="1"/>
    <col min="4856" max="4856" width="12.77734375" style="4" customWidth="1"/>
    <col min="4857" max="4857" width="14.44140625" style="4" customWidth="1"/>
    <col min="4858" max="4858" width="12.21875" style="4" customWidth="1"/>
    <col min="4859" max="4860" width="11.77734375" style="4" customWidth="1"/>
    <col min="4861" max="5109" width="9.21875" style="4"/>
    <col min="5110" max="5110" width="6.44140625" style="4" customWidth="1"/>
    <col min="5111" max="5111" width="47.77734375" style="4" customWidth="1"/>
    <col min="5112" max="5112" width="12.77734375" style="4" customWidth="1"/>
    <col min="5113" max="5113" width="14.44140625" style="4" customWidth="1"/>
    <col min="5114" max="5114" width="12.21875" style="4" customWidth="1"/>
    <col min="5115" max="5116" width="11.77734375" style="4" customWidth="1"/>
    <col min="5117" max="5365" width="9.21875" style="4"/>
    <col min="5366" max="5366" width="6.44140625" style="4" customWidth="1"/>
    <col min="5367" max="5367" width="47.77734375" style="4" customWidth="1"/>
    <col min="5368" max="5368" width="12.77734375" style="4" customWidth="1"/>
    <col min="5369" max="5369" width="14.44140625" style="4" customWidth="1"/>
    <col min="5370" max="5370" width="12.21875" style="4" customWidth="1"/>
    <col min="5371" max="5372" width="11.77734375" style="4" customWidth="1"/>
    <col min="5373" max="5621" width="9.21875" style="4"/>
    <col min="5622" max="5622" width="6.44140625" style="4" customWidth="1"/>
    <col min="5623" max="5623" width="47.77734375" style="4" customWidth="1"/>
    <col min="5624" max="5624" width="12.77734375" style="4" customWidth="1"/>
    <col min="5625" max="5625" width="14.44140625" style="4" customWidth="1"/>
    <col min="5626" max="5626" width="12.21875" style="4" customWidth="1"/>
    <col min="5627" max="5628" width="11.77734375" style="4" customWidth="1"/>
    <col min="5629" max="5877" width="9.21875" style="4"/>
    <col min="5878" max="5878" width="6.44140625" style="4" customWidth="1"/>
    <col min="5879" max="5879" width="47.77734375" style="4" customWidth="1"/>
    <col min="5880" max="5880" width="12.77734375" style="4" customWidth="1"/>
    <col min="5881" max="5881" width="14.44140625" style="4" customWidth="1"/>
    <col min="5882" max="5882" width="12.21875" style="4" customWidth="1"/>
    <col min="5883" max="5884" width="11.77734375" style="4" customWidth="1"/>
    <col min="5885" max="6133" width="9.21875" style="4"/>
    <col min="6134" max="6134" width="6.44140625" style="4" customWidth="1"/>
    <col min="6135" max="6135" width="47.77734375" style="4" customWidth="1"/>
    <col min="6136" max="6136" width="12.77734375" style="4" customWidth="1"/>
    <col min="6137" max="6137" width="14.44140625" style="4" customWidth="1"/>
    <col min="6138" max="6138" width="12.21875" style="4" customWidth="1"/>
    <col min="6139" max="6140" width="11.77734375" style="4" customWidth="1"/>
    <col min="6141" max="6389" width="9.21875" style="4"/>
    <col min="6390" max="6390" width="6.44140625" style="4" customWidth="1"/>
    <col min="6391" max="6391" width="47.77734375" style="4" customWidth="1"/>
    <col min="6392" max="6392" width="12.77734375" style="4" customWidth="1"/>
    <col min="6393" max="6393" width="14.44140625" style="4" customWidth="1"/>
    <col min="6394" max="6394" width="12.21875" style="4" customWidth="1"/>
    <col min="6395" max="6396" width="11.77734375" style="4" customWidth="1"/>
    <col min="6397" max="6645" width="9.21875" style="4"/>
    <col min="6646" max="6646" width="6.44140625" style="4" customWidth="1"/>
    <col min="6647" max="6647" width="47.77734375" style="4" customWidth="1"/>
    <col min="6648" max="6648" width="12.77734375" style="4" customWidth="1"/>
    <col min="6649" max="6649" width="14.44140625" style="4" customWidth="1"/>
    <col min="6650" max="6650" width="12.21875" style="4" customWidth="1"/>
    <col min="6651" max="6652" width="11.77734375" style="4" customWidth="1"/>
    <col min="6653" max="6901" width="9.21875" style="4"/>
    <col min="6902" max="6902" width="6.44140625" style="4" customWidth="1"/>
    <col min="6903" max="6903" width="47.77734375" style="4" customWidth="1"/>
    <col min="6904" max="6904" width="12.77734375" style="4" customWidth="1"/>
    <col min="6905" max="6905" width="14.44140625" style="4" customWidth="1"/>
    <col min="6906" max="6906" width="12.21875" style="4" customWidth="1"/>
    <col min="6907" max="6908" width="11.77734375" style="4" customWidth="1"/>
    <col min="6909" max="7157" width="9.21875" style="4"/>
    <col min="7158" max="7158" width="6.44140625" style="4" customWidth="1"/>
    <col min="7159" max="7159" width="47.77734375" style="4" customWidth="1"/>
    <col min="7160" max="7160" width="12.77734375" style="4" customWidth="1"/>
    <col min="7161" max="7161" width="14.44140625" style="4" customWidth="1"/>
    <col min="7162" max="7162" width="12.21875" style="4" customWidth="1"/>
    <col min="7163" max="7164" width="11.77734375" style="4" customWidth="1"/>
    <col min="7165" max="7413" width="9.21875" style="4"/>
    <col min="7414" max="7414" width="6.44140625" style="4" customWidth="1"/>
    <col min="7415" max="7415" width="47.77734375" style="4" customWidth="1"/>
    <col min="7416" max="7416" width="12.77734375" style="4" customWidth="1"/>
    <col min="7417" max="7417" width="14.44140625" style="4" customWidth="1"/>
    <col min="7418" max="7418" width="12.21875" style="4" customWidth="1"/>
    <col min="7419" max="7420" width="11.77734375" style="4" customWidth="1"/>
    <col min="7421" max="7669" width="9.21875" style="4"/>
    <col min="7670" max="7670" width="6.44140625" style="4" customWidth="1"/>
    <col min="7671" max="7671" width="47.77734375" style="4" customWidth="1"/>
    <col min="7672" max="7672" width="12.77734375" style="4" customWidth="1"/>
    <col min="7673" max="7673" width="14.44140625" style="4" customWidth="1"/>
    <col min="7674" max="7674" width="12.21875" style="4" customWidth="1"/>
    <col min="7675" max="7676" width="11.77734375" style="4" customWidth="1"/>
    <col min="7677" max="7925" width="9.21875" style="4"/>
    <col min="7926" max="7926" width="6.44140625" style="4" customWidth="1"/>
    <col min="7927" max="7927" width="47.77734375" style="4" customWidth="1"/>
    <col min="7928" max="7928" width="12.77734375" style="4" customWidth="1"/>
    <col min="7929" max="7929" width="14.44140625" style="4" customWidth="1"/>
    <col min="7930" max="7930" width="12.21875" style="4" customWidth="1"/>
    <col min="7931" max="7932" width="11.77734375" style="4" customWidth="1"/>
    <col min="7933" max="8181" width="9.21875" style="4"/>
    <col min="8182" max="8182" width="6.44140625" style="4" customWidth="1"/>
    <col min="8183" max="8183" width="47.77734375" style="4" customWidth="1"/>
    <col min="8184" max="8184" width="12.77734375" style="4" customWidth="1"/>
    <col min="8185" max="8185" width="14.44140625" style="4" customWidth="1"/>
    <col min="8186" max="8186" width="12.21875" style="4" customWidth="1"/>
    <col min="8187" max="8188" width="11.77734375" style="4" customWidth="1"/>
    <col min="8189" max="8437" width="9.21875" style="4"/>
    <col min="8438" max="8438" width="6.44140625" style="4" customWidth="1"/>
    <col min="8439" max="8439" width="47.77734375" style="4" customWidth="1"/>
    <col min="8440" max="8440" width="12.77734375" style="4" customWidth="1"/>
    <col min="8441" max="8441" width="14.44140625" style="4" customWidth="1"/>
    <col min="8442" max="8442" width="12.21875" style="4" customWidth="1"/>
    <col min="8443" max="8444" width="11.77734375" style="4" customWidth="1"/>
    <col min="8445" max="8693" width="9.21875" style="4"/>
    <col min="8694" max="8694" width="6.44140625" style="4" customWidth="1"/>
    <col min="8695" max="8695" width="47.77734375" style="4" customWidth="1"/>
    <col min="8696" max="8696" width="12.77734375" style="4" customWidth="1"/>
    <col min="8697" max="8697" width="14.44140625" style="4" customWidth="1"/>
    <col min="8698" max="8698" width="12.21875" style="4" customWidth="1"/>
    <col min="8699" max="8700" width="11.77734375" style="4" customWidth="1"/>
    <col min="8701" max="8949" width="9.21875" style="4"/>
    <col min="8950" max="8950" width="6.44140625" style="4" customWidth="1"/>
    <col min="8951" max="8951" width="47.77734375" style="4" customWidth="1"/>
    <col min="8952" max="8952" width="12.77734375" style="4" customWidth="1"/>
    <col min="8953" max="8953" width="14.44140625" style="4" customWidth="1"/>
    <col min="8954" max="8954" width="12.21875" style="4" customWidth="1"/>
    <col min="8955" max="8956" width="11.77734375" style="4" customWidth="1"/>
    <col min="8957" max="9205" width="9.21875" style="4"/>
    <col min="9206" max="9206" width="6.44140625" style="4" customWidth="1"/>
    <col min="9207" max="9207" width="47.77734375" style="4" customWidth="1"/>
    <col min="9208" max="9208" width="12.77734375" style="4" customWidth="1"/>
    <col min="9209" max="9209" width="14.44140625" style="4" customWidth="1"/>
    <col min="9210" max="9210" width="12.21875" style="4" customWidth="1"/>
    <col min="9211" max="9212" width="11.77734375" style="4" customWidth="1"/>
    <col min="9213" max="9461" width="9.21875" style="4"/>
    <col min="9462" max="9462" width="6.44140625" style="4" customWidth="1"/>
    <col min="9463" max="9463" width="47.77734375" style="4" customWidth="1"/>
    <col min="9464" max="9464" width="12.77734375" style="4" customWidth="1"/>
    <col min="9465" max="9465" width="14.44140625" style="4" customWidth="1"/>
    <col min="9466" max="9466" width="12.21875" style="4" customWidth="1"/>
    <col min="9467" max="9468" width="11.77734375" style="4" customWidth="1"/>
    <col min="9469" max="9717" width="9.21875" style="4"/>
    <col min="9718" max="9718" width="6.44140625" style="4" customWidth="1"/>
    <col min="9719" max="9719" width="47.77734375" style="4" customWidth="1"/>
    <col min="9720" max="9720" width="12.77734375" style="4" customWidth="1"/>
    <col min="9721" max="9721" width="14.44140625" style="4" customWidth="1"/>
    <col min="9722" max="9722" width="12.21875" style="4" customWidth="1"/>
    <col min="9723" max="9724" width="11.77734375" style="4" customWidth="1"/>
    <col min="9725" max="9973" width="9.21875" style="4"/>
    <col min="9974" max="9974" width="6.44140625" style="4" customWidth="1"/>
    <col min="9975" max="9975" width="47.77734375" style="4" customWidth="1"/>
    <col min="9976" max="9976" width="12.77734375" style="4" customWidth="1"/>
    <col min="9977" max="9977" width="14.44140625" style="4" customWidth="1"/>
    <col min="9978" max="9978" width="12.21875" style="4" customWidth="1"/>
    <col min="9979" max="9980" width="11.77734375" style="4" customWidth="1"/>
    <col min="9981" max="10229" width="9.21875" style="4"/>
    <col min="10230" max="10230" width="6.44140625" style="4" customWidth="1"/>
    <col min="10231" max="10231" width="47.77734375" style="4" customWidth="1"/>
    <col min="10232" max="10232" width="12.77734375" style="4" customWidth="1"/>
    <col min="10233" max="10233" width="14.44140625" style="4" customWidth="1"/>
    <col min="10234" max="10234" width="12.21875" style="4" customWidth="1"/>
    <col min="10235" max="10236" width="11.77734375" style="4" customWidth="1"/>
    <col min="10237" max="10485" width="9.21875" style="4"/>
    <col min="10486" max="10486" width="6.44140625" style="4" customWidth="1"/>
    <col min="10487" max="10487" width="47.77734375" style="4" customWidth="1"/>
    <col min="10488" max="10488" width="12.77734375" style="4" customWidth="1"/>
    <col min="10489" max="10489" width="14.44140625" style="4" customWidth="1"/>
    <col min="10490" max="10490" width="12.21875" style="4" customWidth="1"/>
    <col min="10491" max="10492" width="11.77734375" style="4" customWidth="1"/>
    <col min="10493" max="10741" width="9.21875" style="4"/>
    <col min="10742" max="10742" width="6.44140625" style="4" customWidth="1"/>
    <col min="10743" max="10743" width="47.77734375" style="4" customWidth="1"/>
    <col min="10744" max="10744" width="12.77734375" style="4" customWidth="1"/>
    <col min="10745" max="10745" width="14.44140625" style="4" customWidth="1"/>
    <col min="10746" max="10746" width="12.21875" style="4" customWidth="1"/>
    <col min="10747" max="10748" width="11.77734375" style="4" customWidth="1"/>
    <col min="10749" max="10997" width="9.21875" style="4"/>
    <col min="10998" max="10998" width="6.44140625" style="4" customWidth="1"/>
    <col min="10999" max="10999" width="47.77734375" style="4" customWidth="1"/>
    <col min="11000" max="11000" width="12.77734375" style="4" customWidth="1"/>
    <col min="11001" max="11001" width="14.44140625" style="4" customWidth="1"/>
    <col min="11002" max="11002" width="12.21875" style="4" customWidth="1"/>
    <col min="11003" max="11004" width="11.77734375" style="4" customWidth="1"/>
    <col min="11005" max="11253" width="9.21875" style="4"/>
    <col min="11254" max="11254" width="6.44140625" style="4" customWidth="1"/>
    <col min="11255" max="11255" width="47.77734375" style="4" customWidth="1"/>
    <col min="11256" max="11256" width="12.77734375" style="4" customWidth="1"/>
    <col min="11257" max="11257" width="14.44140625" style="4" customWidth="1"/>
    <col min="11258" max="11258" width="12.21875" style="4" customWidth="1"/>
    <col min="11259" max="11260" width="11.77734375" style="4" customWidth="1"/>
    <col min="11261" max="11509" width="9.21875" style="4"/>
    <col min="11510" max="11510" width="6.44140625" style="4" customWidth="1"/>
    <col min="11511" max="11511" width="47.77734375" style="4" customWidth="1"/>
    <col min="11512" max="11512" width="12.77734375" style="4" customWidth="1"/>
    <col min="11513" max="11513" width="14.44140625" style="4" customWidth="1"/>
    <col min="11514" max="11514" width="12.21875" style="4" customWidth="1"/>
    <col min="11515" max="11516" width="11.77734375" style="4" customWidth="1"/>
    <col min="11517" max="11765" width="9.21875" style="4"/>
    <col min="11766" max="11766" width="6.44140625" style="4" customWidth="1"/>
    <col min="11767" max="11767" width="47.77734375" style="4" customWidth="1"/>
    <col min="11768" max="11768" width="12.77734375" style="4" customWidth="1"/>
    <col min="11769" max="11769" width="14.44140625" style="4" customWidth="1"/>
    <col min="11770" max="11770" width="12.21875" style="4" customWidth="1"/>
    <col min="11771" max="11772" width="11.77734375" style="4" customWidth="1"/>
    <col min="11773" max="12021" width="9.21875" style="4"/>
    <col min="12022" max="12022" width="6.44140625" style="4" customWidth="1"/>
    <col min="12023" max="12023" width="47.77734375" style="4" customWidth="1"/>
    <col min="12024" max="12024" width="12.77734375" style="4" customWidth="1"/>
    <col min="12025" max="12025" width="14.44140625" style="4" customWidth="1"/>
    <col min="12026" max="12026" width="12.21875" style="4" customWidth="1"/>
    <col min="12027" max="12028" width="11.77734375" style="4" customWidth="1"/>
    <col min="12029" max="12277" width="9.21875" style="4"/>
    <col min="12278" max="12278" width="6.44140625" style="4" customWidth="1"/>
    <col min="12279" max="12279" width="47.77734375" style="4" customWidth="1"/>
    <col min="12280" max="12280" width="12.77734375" style="4" customWidth="1"/>
    <col min="12281" max="12281" width="14.44140625" style="4" customWidth="1"/>
    <col min="12282" max="12282" width="12.21875" style="4" customWidth="1"/>
    <col min="12283" max="12284" width="11.77734375" style="4" customWidth="1"/>
    <col min="12285" max="12533" width="9.21875" style="4"/>
    <col min="12534" max="12534" width="6.44140625" style="4" customWidth="1"/>
    <col min="12535" max="12535" width="47.77734375" style="4" customWidth="1"/>
    <col min="12536" max="12536" width="12.77734375" style="4" customWidth="1"/>
    <col min="12537" max="12537" width="14.44140625" style="4" customWidth="1"/>
    <col min="12538" max="12538" width="12.21875" style="4" customWidth="1"/>
    <col min="12539" max="12540" width="11.77734375" style="4" customWidth="1"/>
    <col min="12541" max="12789" width="9.21875" style="4"/>
    <col min="12790" max="12790" width="6.44140625" style="4" customWidth="1"/>
    <col min="12791" max="12791" width="47.77734375" style="4" customWidth="1"/>
    <col min="12792" max="12792" width="12.77734375" style="4" customWidth="1"/>
    <col min="12793" max="12793" width="14.44140625" style="4" customWidth="1"/>
    <col min="12794" max="12794" width="12.21875" style="4" customWidth="1"/>
    <col min="12795" max="12796" width="11.77734375" style="4" customWidth="1"/>
    <col min="12797" max="13045" width="9.21875" style="4"/>
    <col min="13046" max="13046" width="6.44140625" style="4" customWidth="1"/>
    <col min="13047" max="13047" width="47.77734375" style="4" customWidth="1"/>
    <col min="13048" max="13048" width="12.77734375" style="4" customWidth="1"/>
    <col min="13049" max="13049" width="14.44140625" style="4" customWidth="1"/>
    <col min="13050" max="13050" width="12.21875" style="4" customWidth="1"/>
    <col min="13051" max="13052" width="11.77734375" style="4" customWidth="1"/>
    <col min="13053" max="13301" width="9.21875" style="4"/>
    <col min="13302" max="13302" width="6.44140625" style="4" customWidth="1"/>
    <col min="13303" max="13303" width="47.77734375" style="4" customWidth="1"/>
    <col min="13304" max="13304" width="12.77734375" style="4" customWidth="1"/>
    <col min="13305" max="13305" width="14.44140625" style="4" customWidth="1"/>
    <col min="13306" max="13306" width="12.21875" style="4" customWidth="1"/>
    <col min="13307" max="13308" width="11.77734375" style="4" customWidth="1"/>
    <col min="13309" max="13557" width="9.21875" style="4"/>
    <col min="13558" max="13558" width="6.44140625" style="4" customWidth="1"/>
    <col min="13559" max="13559" width="47.77734375" style="4" customWidth="1"/>
    <col min="13560" max="13560" width="12.77734375" style="4" customWidth="1"/>
    <col min="13561" max="13561" width="14.44140625" style="4" customWidth="1"/>
    <col min="13562" max="13562" width="12.21875" style="4" customWidth="1"/>
    <col min="13563" max="13564" width="11.77734375" style="4" customWidth="1"/>
    <col min="13565" max="13813" width="9.21875" style="4"/>
    <col min="13814" max="13814" width="6.44140625" style="4" customWidth="1"/>
    <col min="13815" max="13815" width="47.77734375" style="4" customWidth="1"/>
    <col min="13816" max="13816" width="12.77734375" style="4" customWidth="1"/>
    <col min="13817" max="13817" width="14.44140625" style="4" customWidth="1"/>
    <col min="13818" max="13818" width="12.21875" style="4" customWidth="1"/>
    <col min="13819" max="13820" width="11.77734375" style="4" customWidth="1"/>
    <col min="13821" max="14069" width="9.21875" style="4"/>
    <col min="14070" max="14070" width="6.44140625" style="4" customWidth="1"/>
    <col min="14071" max="14071" width="47.77734375" style="4" customWidth="1"/>
    <col min="14072" max="14072" width="12.77734375" style="4" customWidth="1"/>
    <col min="14073" max="14073" width="14.44140625" style="4" customWidth="1"/>
    <col min="14074" max="14074" width="12.21875" style="4" customWidth="1"/>
    <col min="14075" max="14076" width="11.77734375" style="4" customWidth="1"/>
    <col min="14077" max="14325" width="9.21875" style="4"/>
    <col min="14326" max="14326" width="6.44140625" style="4" customWidth="1"/>
    <col min="14327" max="14327" width="47.77734375" style="4" customWidth="1"/>
    <col min="14328" max="14328" width="12.77734375" style="4" customWidth="1"/>
    <col min="14329" max="14329" width="14.44140625" style="4" customWidth="1"/>
    <col min="14330" max="14330" width="12.21875" style="4" customWidth="1"/>
    <col min="14331" max="14332" width="11.77734375" style="4" customWidth="1"/>
    <col min="14333" max="14581" width="9.21875" style="4"/>
    <col min="14582" max="14582" width="6.44140625" style="4" customWidth="1"/>
    <col min="14583" max="14583" width="47.77734375" style="4" customWidth="1"/>
    <col min="14584" max="14584" width="12.77734375" style="4" customWidth="1"/>
    <col min="14585" max="14585" width="14.44140625" style="4" customWidth="1"/>
    <col min="14586" max="14586" width="12.21875" style="4" customWidth="1"/>
    <col min="14587" max="14588" width="11.77734375" style="4" customWidth="1"/>
    <col min="14589" max="14837" width="9.21875" style="4"/>
    <col min="14838" max="14838" width="6.44140625" style="4" customWidth="1"/>
    <col min="14839" max="14839" width="47.77734375" style="4" customWidth="1"/>
    <col min="14840" max="14840" width="12.77734375" style="4" customWidth="1"/>
    <col min="14841" max="14841" width="14.44140625" style="4" customWidth="1"/>
    <col min="14842" max="14842" width="12.21875" style="4" customWidth="1"/>
    <col min="14843" max="14844" width="11.77734375" style="4" customWidth="1"/>
    <col min="14845" max="15093" width="9.21875" style="4"/>
    <col min="15094" max="15094" width="6.44140625" style="4" customWidth="1"/>
    <col min="15095" max="15095" width="47.77734375" style="4" customWidth="1"/>
    <col min="15096" max="15096" width="12.77734375" style="4" customWidth="1"/>
    <col min="15097" max="15097" width="14.44140625" style="4" customWidth="1"/>
    <col min="15098" max="15098" width="12.21875" style="4" customWidth="1"/>
    <col min="15099" max="15100" width="11.77734375" style="4" customWidth="1"/>
    <col min="15101" max="15349" width="9.21875" style="4"/>
    <col min="15350" max="15350" width="6.44140625" style="4" customWidth="1"/>
    <col min="15351" max="15351" width="47.77734375" style="4" customWidth="1"/>
    <col min="15352" max="15352" width="12.77734375" style="4" customWidth="1"/>
    <col min="15353" max="15353" width="14.44140625" style="4" customWidth="1"/>
    <col min="15354" max="15354" width="12.21875" style="4" customWidth="1"/>
    <col min="15355" max="15356" width="11.77734375" style="4" customWidth="1"/>
    <col min="15357" max="15605" width="9.21875" style="4"/>
    <col min="15606" max="15606" width="6.44140625" style="4" customWidth="1"/>
    <col min="15607" max="15607" width="47.77734375" style="4" customWidth="1"/>
    <col min="15608" max="15608" width="12.77734375" style="4" customWidth="1"/>
    <col min="15609" max="15609" width="14.44140625" style="4" customWidth="1"/>
    <col min="15610" max="15610" width="12.21875" style="4" customWidth="1"/>
    <col min="15611" max="15612" width="11.77734375" style="4" customWidth="1"/>
    <col min="15613" max="15861" width="9.21875" style="4"/>
    <col min="15862" max="15862" width="6.44140625" style="4" customWidth="1"/>
    <col min="15863" max="15863" width="47.77734375" style="4" customWidth="1"/>
    <col min="15864" max="15864" width="12.77734375" style="4" customWidth="1"/>
    <col min="15865" max="15865" width="14.44140625" style="4" customWidth="1"/>
    <col min="15866" max="15866" width="12.21875" style="4" customWidth="1"/>
    <col min="15867" max="15868" width="11.77734375" style="4" customWidth="1"/>
    <col min="15869" max="16117" width="9.21875" style="4"/>
    <col min="16118" max="16118" width="6.44140625" style="4" customWidth="1"/>
    <col min="16119" max="16119" width="47.77734375" style="4" customWidth="1"/>
    <col min="16120" max="16120" width="12.77734375" style="4" customWidth="1"/>
    <col min="16121" max="16121" width="14.44140625" style="4" customWidth="1"/>
    <col min="16122" max="16122" width="12.21875" style="4" customWidth="1"/>
    <col min="16123" max="16124" width="11.77734375" style="4" customWidth="1"/>
    <col min="16125" max="16384" width="9.21875" style="4"/>
  </cols>
  <sheetData>
    <row r="1" spans="1:21" x14ac:dyDescent="0.25">
      <c r="A1" s="84"/>
      <c r="B1" s="84"/>
    </row>
    <row r="2" spans="1:21" ht="24.45" customHeight="1" x14ac:dyDescent="0.25">
      <c r="A2" s="340" t="s">
        <v>287</v>
      </c>
      <c r="B2" s="340"/>
      <c r="C2" s="340"/>
      <c r="D2" s="119"/>
      <c r="E2" s="119"/>
    </row>
    <row r="3" spans="1:21" x14ac:dyDescent="0.25">
      <c r="A3" s="84"/>
      <c r="B3" s="84"/>
    </row>
    <row r="4" spans="1:21" ht="23.55" customHeight="1" x14ac:dyDescent="0.25">
      <c r="A4" s="341" t="s">
        <v>86</v>
      </c>
      <c r="B4" s="341" t="s">
        <v>91</v>
      </c>
      <c r="C4" s="83" t="s">
        <v>301</v>
      </c>
      <c r="D4" s="36" t="s">
        <v>288</v>
      </c>
      <c r="E4" s="85" t="s">
        <v>288</v>
      </c>
      <c r="F4" s="335" t="s">
        <v>442</v>
      </c>
      <c r="G4" s="336"/>
      <c r="H4" s="338" t="s">
        <v>439</v>
      </c>
      <c r="I4" s="338" t="s">
        <v>440</v>
      </c>
      <c r="J4" s="335" t="s">
        <v>441</v>
      </c>
      <c r="K4" s="336"/>
      <c r="L4" s="338" t="s">
        <v>443</v>
      </c>
      <c r="M4" s="338" t="s">
        <v>440</v>
      </c>
      <c r="N4" s="335" t="s">
        <v>444</v>
      </c>
      <c r="O4" s="336"/>
      <c r="P4" s="337" t="s">
        <v>453</v>
      </c>
      <c r="Q4" s="338" t="s">
        <v>440</v>
      </c>
      <c r="R4" s="335" t="s">
        <v>528</v>
      </c>
      <c r="S4" s="336"/>
      <c r="T4" s="337" t="s">
        <v>529</v>
      </c>
      <c r="U4" s="338" t="s">
        <v>440</v>
      </c>
    </row>
    <row r="5" spans="1:21" ht="52.8" x14ac:dyDescent="0.25">
      <c r="A5" s="342"/>
      <c r="B5" s="342"/>
      <c r="C5" s="36" t="s">
        <v>300</v>
      </c>
      <c r="D5" s="36" t="s">
        <v>302</v>
      </c>
      <c r="E5" s="85" t="s">
        <v>319</v>
      </c>
      <c r="F5" s="36" t="s">
        <v>288</v>
      </c>
      <c r="G5" s="83" t="s">
        <v>301</v>
      </c>
      <c r="H5" s="339"/>
      <c r="I5" s="339"/>
      <c r="J5" s="36" t="s">
        <v>288</v>
      </c>
      <c r="K5" s="83" t="s">
        <v>301</v>
      </c>
      <c r="L5" s="339"/>
      <c r="M5" s="339"/>
      <c r="N5" s="36" t="s">
        <v>288</v>
      </c>
      <c r="O5" s="83" t="s">
        <v>301</v>
      </c>
      <c r="P5" s="337"/>
      <c r="Q5" s="339"/>
      <c r="R5" s="36" t="s">
        <v>288</v>
      </c>
      <c r="S5" s="83" t="s">
        <v>301</v>
      </c>
      <c r="T5" s="337"/>
      <c r="U5" s="339"/>
    </row>
    <row r="6" spans="1:21" x14ac:dyDescent="0.25">
      <c r="A6" s="118">
        <v>1</v>
      </c>
      <c r="B6" s="118">
        <v>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</row>
    <row r="7" spans="1:21" x14ac:dyDescent="0.25">
      <c r="A7" s="30" t="s">
        <v>1</v>
      </c>
      <c r="B7" s="86" t="s">
        <v>157</v>
      </c>
      <c r="C7" s="75">
        <v>1217.0317736555569</v>
      </c>
      <c r="D7" s="75">
        <v>2025.5</v>
      </c>
      <c r="E7" s="75">
        <f>D7-C7</f>
        <v>808.46822634444311</v>
      </c>
      <c r="F7" s="75">
        <v>2879</v>
      </c>
      <c r="G7" s="75">
        <v>2057.25</v>
      </c>
      <c r="H7" s="75">
        <v>2051.5500000000002</v>
      </c>
      <c r="I7" s="75">
        <f>H7-G7</f>
        <v>-5.6999999999998181</v>
      </c>
      <c r="J7" s="74">
        <v>4119.97</v>
      </c>
      <c r="K7" s="74">
        <v>2216.44</v>
      </c>
      <c r="L7" s="74">
        <v>1846.34</v>
      </c>
      <c r="M7" s="75">
        <f>L7-K7</f>
        <v>-370.10000000000014</v>
      </c>
      <c r="N7" s="74">
        <v>4621.03</v>
      </c>
      <c r="O7" s="74">
        <v>2297.41</v>
      </c>
      <c r="P7" s="74">
        <v>968.28</v>
      </c>
      <c r="Q7" s="74">
        <f>P7-O7</f>
        <v>-1329.1299999999999</v>
      </c>
      <c r="R7" s="74">
        <v>3836.46</v>
      </c>
      <c r="S7" s="74">
        <v>3284.31</v>
      </c>
      <c r="T7" s="74">
        <v>1396.73</v>
      </c>
      <c r="U7" s="74">
        <f>T7-S7</f>
        <v>-1887.58</v>
      </c>
    </row>
    <row r="8" spans="1:21" x14ac:dyDescent="0.25">
      <c r="A8" s="30" t="s">
        <v>2</v>
      </c>
      <c r="B8" s="86" t="s">
        <v>289</v>
      </c>
      <c r="C8" s="76">
        <v>2069.4876643642392</v>
      </c>
      <c r="D8" s="76">
        <v>1814.3</v>
      </c>
      <c r="E8" s="75">
        <f t="shared" ref="E8:E44" si="0">D8-C8</f>
        <v>-255.18766436423925</v>
      </c>
      <c r="F8" s="75">
        <v>3577</v>
      </c>
      <c r="G8" s="75">
        <v>2154.38</v>
      </c>
      <c r="H8" s="75">
        <v>2271.4499999999998</v>
      </c>
      <c r="I8" s="75">
        <f t="shared" ref="I8:I46" si="1">H8-G8</f>
        <v>117.06999999999971</v>
      </c>
      <c r="J8" s="74">
        <v>5391.1</v>
      </c>
      <c r="K8" s="74">
        <v>2321.08</v>
      </c>
      <c r="L8" s="74">
        <v>3691.38</v>
      </c>
      <c r="M8" s="75">
        <f t="shared" ref="M8:M38" si="2">L8-K8</f>
        <v>1370.3000000000002</v>
      </c>
      <c r="N8" s="74">
        <v>2897.8</v>
      </c>
      <c r="O8" s="74">
        <v>2405.87</v>
      </c>
      <c r="P8" s="74">
        <v>3092.23</v>
      </c>
      <c r="Q8" s="74">
        <f>P8-O8</f>
        <v>686.36000000000013</v>
      </c>
      <c r="R8" s="74">
        <v>7375.51</v>
      </c>
      <c r="S8" s="74">
        <v>3907.19</v>
      </c>
      <c r="T8" s="74">
        <v>3270.65</v>
      </c>
      <c r="U8" s="74">
        <f>T8-S8</f>
        <v>-636.54</v>
      </c>
    </row>
    <row r="9" spans="1:21" x14ac:dyDescent="0.25">
      <c r="A9" s="30"/>
      <c r="B9" s="86" t="s">
        <v>158</v>
      </c>
      <c r="C9" s="74"/>
      <c r="D9" s="74"/>
      <c r="E9" s="75">
        <f t="shared" si="0"/>
        <v>0</v>
      </c>
      <c r="F9" s="75"/>
      <c r="G9" s="75"/>
      <c r="H9" s="75"/>
      <c r="I9" s="75">
        <f t="shared" si="1"/>
        <v>0</v>
      </c>
      <c r="J9" s="74"/>
      <c r="K9" s="74"/>
      <c r="L9" s="74"/>
      <c r="M9" s="75">
        <f t="shared" si="2"/>
        <v>0</v>
      </c>
      <c r="N9" s="74"/>
      <c r="O9" s="74"/>
      <c r="P9" s="74"/>
      <c r="Q9" s="74"/>
      <c r="R9" s="74"/>
      <c r="S9" s="74"/>
      <c r="T9" s="74"/>
      <c r="U9" s="74"/>
    </row>
    <row r="10" spans="1:21" x14ac:dyDescent="0.25">
      <c r="A10" s="30" t="s">
        <v>3</v>
      </c>
      <c r="B10" s="86" t="s">
        <v>252</v>
      </c>
      <c r="C10" s="74"/>
      <c r="D10" s="74"/>
      <c r="E10" s="75">
        <f t="shared" si="0"/>
        <v>0</v>
      </c>
      <c r="F10" s="75"/>
      <c r="G10" s="75"/>
      <c r="H10" s="75">
        <v>317.75</v>
      </c>
      <c r="I10" s="75">
        <f t="shared" si="1"/>
        <v>317.75</v>
      </c>
      <c r="J10" s="74">
        <v>1913.4</v>
      </c>
      <c r="K10" s="74"/>
      <c r="L10" s="74">
        <v>1690.28</v>
      </c>
      <c r="M10" s="75">
        <f t="shared" si="2"/>
        <v>1690.28</v>
      </c>
      <c r="N10" s="74"/>
      <c r="O10" s="74"/>
      <c r="P10" s="74">
        <v>757.31</v>
      </c>
      <c r="Q10" s="74">
        <f t="shared" ref="Q10" si="3">P10-O10</f>
        <v>757.31</v>
      </c>
      <c r="R10" s="74">
        <v>1050</v>
      </c>
      <c r="S10" s="74">
        <v>495.07</v>
      </c>
      <c r="T10" s="74">
        <v>123.43</v>
      </c>
      <c r="U10" s="74">
        <f t="shared" ref="U10:U11" si="4">T10-S10</f>
        <v>-371.64</v>
      </c>
    </row>
    <row r="11" spans="1:21" x14ac:dyDescent="0.25">
      <c r="A11" s="30"/>
      <c r="B11" s="86" t="s">
        <v>158</v>
      </c>
      <c r="C11" s="74"/>
      <c r="D11" s="74"/>
      <c r="E11" s="75">
        <f t="shared" si="0"/>
        <v>0</v>
      </c>
      <c r="F11" s="75"/>
      <c r="G11" s="75"/>
      <c r="H11" s="75">
        <v>223.53</v>
      </c>
      <c r="I11" s="75">
        <f t="shared" si="1"/>
        <v>223.53</v>
      </c>
      <c r="J11" s="74"/>
      <c r="K11" s="74"/>
      <c r="L11" s="74"/>
      <c r="M11" s="75">
        <f t="shared" si="2"/>
        <v>0</v>
      </c>
      <c r="N11" s="74"/>
      <c r="O11" s="74"/>
      <c r="P11" s="74">
        <v>140.97</v>
      </c>
      <c r="Q11" s="74"/>
      <c r="R11" s="74"/>
      <c r="S11" s="74"/>
      <c r="T11" s="74"/>
      <c r="U11" s="74">
        <f t="shared" si="4"/>
        <v>0</v>
      </c>
    </row>
    <row r="12" spans="1:21" x14ac:dyDescent="0.25">
      <c r="A12" s="30" t="s">
        <v>89</v>
      </c>
      <c r="B12" s="86" t="s">
        <v>159</v>
      </c>
      <c r="C12" s="76"/>
      <c r="D12" s="76"/>
      <c r="E12" s="75">
        <f t="shared" si="0"/>
        <v>0</v>
      </c>
      <c r="F12" s="75"/>
      <c r="G12" s="75"/>
      <c r="H12" s="75"/>
      <c r="I12" s="75">
        <f t="shared" si="1"/>
        <v>0</v>
      </c>
      <c r="J12" s="74"/>
      <c r="K12" s="74"/>
      <c r="L12" s="74"/>
      <c r="M12" s="75">
        <f t="shared" si="2"/>
        <v>0</v>
      </c>
      <c r="N12" s="74"/>
      <c r="O12" s="74"/>
      <c r="P12" s="74"/>
      <c r="Q12" s="74"/>
      <c r="R12" s="74"/>
      <c r="S12" s="74"/>
      <c r="T12" s="74"/>
      <c r="U12" s="74"/>
    </row>
    <row r="13" spans="1:21" x14ac:dyDescent="0.25">
      <c r="A13" s="30" t="s">
        <v>93</v>
      </c>
      <c r="B13" s="86" t="s">
        <v>160</v>
      </c>
      <c r="C13" s="75">
        <v>95.640749849999992</v>
      </c>
      <c r="D13" s="75">
        <f>D15</f>
        <v>45.5</v>
      </c>
      <c r="E13" s="75">
        <f t="shared" si="0"/>
        <v>-50.140749849999992</v>
      </c>
      <c r="F13" s="75">
        <v>890</v>
      </c>
      <c r="G13" s="75">
        <v>136.43</v>
      </c>
      <c r="H13" s="75">
        <v>180.35</v>
      </c>
      <c r="I13" s="75">
        <f t="shared" si="1"/>
        <v>43.919999999999987</v>
      </c>
      <c r="J13" s="74">
        <v>205.5</v>
      </c>
      <c r="K13" s="74">
        <v>203.25</v>
      </c>
      <c r="L13" s="74">
        <f>L14+L15</f>
        <v>229.07999999999998</v>
      </c>
      <c r="M13" s="75">
        <f t="shared" si="2"/>
        <v>25.829999999999984</v>
      </c>
      <c r="N13" s="74">
        <v>283.10000000000002</v>
      </c>
      <c r="O13" s="74">
        <v>266.01</v>
      </c>
      <c r="P13" s="74">
        <v>227.33</v>
      </c>
      <c r="Q13" s="74">
        <f t="shared" ref="Q13:Q16" si="5">P13-O13</f>
        <v>-38.679999999999978</v>
      </c>
      <c r="R13" s="74">
        <v>309.14</v>
      </c>
      <c r="S13" s="74">
        <f>S14+S15</f>
        <v>254.20000000000002</v>
      </c>
      <c r="T13" s="74">
        <v>242.24</v>
      </c>
      <c r="U13" s="74">
        <f t="shared" ref="U13:U16" si="6">T13-S13</f>
        <v>-11.960000000000008</v>
      </c>
    </row>
    <row r="14" spans="1:21" x14ac:dyDescent="0.25">
      <c r="A14" s="30" t="s">
        <v>161</v>
      </c>
      <c r="B14" s="86" t="s">
        <v>162</v>
      </c>
      <c r="C14" s="75">
        <v>0</v>
      </c>
      <c r="D14" s="75">
        <v>0</v>
      </c>
      <c r="E14" s="75">
        <f t="shared" si="0"/>
        <v>0</v>
      </c>
      <c r="F14" s="75">
        <v>762</v>
      </c>
      <c r="G14" s="75">
        <v>0</v>
      </c>
      <c r="H14" s="75"/>
      <c r="I14" s="75">
        <f t="shared" si="1"/>
        <v>0</v>
      </c>
      <c r="J14" s="74"/>
      <c r="K14" s="74"/>
      <c r="L14" s="74">
        <v>37.01</v>
      </c>
      <c r="M14" s="75">
        <f t="shared" si="2"/>
        <v>37.01</v>
      </c>
      <c r="N14" s="74">
        <v>64.2</v>
      </c>
      <c r="O14" s="74">
        <v>64.2</v>
      </c>
      <c r="P14" s="74">
        <v>46.56</v>
      </c>
      <c r="Q14" s="74">
        <f t="shared" si="5"/>
        <v>-17.64</v>
      </c>
      <c r="R14" s="74">
        <v>64.2</v>
      </c>
      <c r="S14" s="74">
        <v>50.09</v>
      </c>
      <c r="T14" s="74">
        <v>44.7</v>
      </c>
      <c r="U14" s="74">
        <f t="shared" si="6"/>
        <v>-5.3900000000000006</v>
      </c>
    </row>
    <row r="15" spans="1:21" x14ac:dyDescent="0.25">
      <c r="A15" s="30" t="s">
        <v>163</v>
      </c>
      <c r="B15" s="86" t="s">
        <v>164</v>
      </c>
      <c r="C15" s="75">
        <v>95.640749849999992</v>
      </c>
      <c r="D15" s="75">
        <v>45.5</v>
      </c>
      <c r="E15" s="75">
        <f t="shared" si="0"/>
        <v>-50.140749849999992</v>
      </c>
      <c r="F15" s="75">
        <v>128</v>
      </c>
      <c r="G15" s="75">
        <v>136.43</v>
      </c>
      <c r="H15" s="75">
        <v>180.35</v>
      </c>
      <c r="I15" s="75">
        <f t="shared" si="1"/>
        <v>43.919999999999987</v>
      </c>
      <c r="J15" s="74">
        <v>205.5</v>
      </c>
      <c r="K15" s="74">
        <v>203.25</v>
      </c>
      <c r="L15" s="74">
        <v>192.07</v>
      </c>
      <c r="M15" s="75">
        <f t="shared" si="2"/>
        <v>-11.180000000000007</v>
      </c>
      <c r="N15" s="74">
        <v>218.9</v>
      </c>
      <c r="O15" s="74">
        <v>201.81</v>
      </c>
      <c r="P15" s="74">
        <v>180.76</v>
      </c>
      <c r="Q15" s="74">
        <f t="shared" si="5"/>
        <v>-21.050000000000011</v>
      </c>
      <c r="R15" s="74">
        <v>244.94</v>
      </c>
      <c r="S15" s="74">
        <v>204.11</v>
      </c>
      <c r="T15" s="74">
        <v>197.54</v>
      </c>
      <c r="U15" s="74">
        <f t="shared" si="6"/>
        <v>-6.5700000000000216</v>
      </c>
    </row>
    <row r="16" spans="1:21" x14ac:dyDescent="0.25">
      <c r="A16" s="30" t="s">
        <v>95</v>
      </c>
      <c r="B16" s="86" t="s">
        <v>165</v>
      </c>
      <c r="C16" s="76">
        <v>14583.946915963425</v>
      </c>
      <c r="D16" s="76">
        <v>16983</v>
      </c>
      <c r="E16" s="75">
        <f t="shared" si="0"/>
        <v>2399.0530840365755</v>
      </c>
      <c r="F16" s="75">
        <v>82557</v>
      </c>
      <c r="G16" s="75">
        <v>28088.3</v>
      </c>
      <c r="H16" s="75">
        <v>27380.42</v>
      </c>
      <c r="I16" s="75">
        <f t="shared" si="1"/>
        <v>-707.88000000000102</v>
      </c>
      <c r="J16" s="74">
        <v>82157.05</v>
      </c>
      <c r="K16" s="74">
        <v>30261.72</v>
      </c>
      <c r="L16" s="74">
        <v>32665.73</v>
      </c>
      <c r="M16" s="75">
        <f t="shared" si="2"/>
        <v>2404.0099999999984</v>
      </c>
      <c r="N16" s="74">
        <v>32781.269999999997</v>
      </c>
      <c r="O16" s="74">
        <v>31367.18</v>
      </c>
      <c r="P16" s="74">
        <v>31067.59</v>
      </c>
      <c r="Q16" s="74">
        <f t="shared" si="5"/>
        <v>-299.59000000000015</v>
      </c>
      <c r="R16" s="74">
        <v>89586.92</v>
      </c>
      <c r="S16" s="74">
        <v>43324.76</v>
      </c>
      <c r="T16" s="74">
        <v>40980.519999999997</v>
      </c>
      <c r="U16" s="74">
        <f t="shared" si="6"/>
        <v>-2344.2400000000052</v>
      </c>
    </row>
    <row r="17" spans="1:21" x14ac:dyDescent="0.25">
      <c r="A17" s="30"/>
      <c r="B17" s="86" t="s">
        <v>158</v>
      </c>
      <c r="C17" s="74"/>
      <c r="D17" s="74"/>
      <c r="E17" s="75">
        <f t="shared" si="0"/>
        <v>0</v>
      </c>
      <c r="F17" s="75"/>
      <c r="G17" s="75"/>
      <c r="H17" s="75"/>
      <c r="I17" s="75">
        <f t="shared" si="1"/>
        <v>0</v>
      </c>
      <c r="J17" s="74"/>
      <c r="K17" s="74"/>
      <c r="L17" s="74"/>
      <c r="M17" s="75">
        <f t="shared" si="2"/>
        <v>0</v>
      </c>
      <c r="N17" s="74"/>
      <c r="O17" s="74"/>
      <c r="P17" s="74"/>
      <c r="Q17" s="74"/>
      <c r="R17" s="74"/>
      <c r="S17" s="74"/>
      <c r="T17" s="74"/>
      <c r="U17" s="74"/>
    </row>
    <row r="18" spans="1:21" x14ac:dyDescent="0.25">
      <c r="A18" s="30" t="s">
        <v>4</v>
      </c>
      <c r="B18" s="87" t="s">
        <v>166</v>
      </c>
      <c r="C18" s="75">
        <v>4433.5198624528812</v>
      </c>
      <c r="D18" s="75">
        <v>4902</v>
      </c>
      <c r="E18" s="75">
        <f t="shared" si="0"/>
        <v>468.48013754711883</v>
      </c>
      <c r="F18" s="75">
        <v>25097</v>
      </c>
      <c r="G18" s="75">
        <v>8538.84</v>
      </c>
      <c r="H18" s="75">
        <v>7794</v>
      </c>
      <c r="I18" s="75">
        <f t="shared" si="1"/>
        <v>-744.84000000000015</v>
      </c>
      <c r="J18" s="74">
        <v>24714.91</v>
      </c>
      <c r="K18" s="74">
        <v>9199.56</v>
      </c>
      <c r="L18" s="74">
        <v>9289.61</v>
      </c>
      <c r="M18" s="75">
        <f t="shared" si="2"/>
        <v>90.050000000001091</v>
      </c>
      <c r="N18" s="74">
        <v>9907.93</v>
      </c>
      <c r="O18" s="74">
        <v>9535.6200000000008</v>
      </c>
      <c r="P18" s="74">
        <v>9444.5499999999993</v>
      </c>
      <c r="Q18" s="74">
        <f>P18-O18</f>
        <v>-91.070000000001528</v>
      </c>
      <c r="R18" s="74">
        <v>27234.43</v>
      </c>
      <c r="S18" s="74">
        <v>13170.73</v>
      </c>
      <c r="T18" s="74">
        <v>11925.51</v>
      </c>
      <c r="U18" s="74">
        <f>T18-S18</f>
        <v>-1245.2199999999993</v>
      </c>
    </row>
    <row r="19" spans="1:21" x14ac:dyDescent="0.25">
      <c r="A19" s="30"/>
      <c r="B19" s="86" t="s">
        <v>158</v>
      </c>
      <c r="C19" s="74"/>
      <c r="D19" s="74"/>
      <c r="E19" s="75">
        <f t="shared" si="0"/>
        <v>0</v>
      </c>
      <c r="F19" s="75"/>
      <c r="G19" s="75"/>
      <c r="H19" s="75"/>
      <c r="I19" s="75">
        <f t="shared" si="1"/>
        <v>0</v>
      </c>
      <c r="J19" s="74"/>
      <c r="K19" s="74"/>
      <c r="L19" s="74"/>
      <c r="M19" s="75">
        <f t="shared" si="2"/>
        <v>0</v>
      </c>
      <c r="N19" s="74"/>
      <c r="O19" s="74"/>
      <c r="P19" s="74"/>
      <c r="Q19" s="74"/>
      <c r="R19" s="74"/>
      <c r="S19" s="74"/>
      <c r="T19" s="74"/>
      <c r="U19" s="74"/>
    </row>
    <row r="20" spans="1:21" x14ac:dyDescent="0.25">
      <c r="A20" s="30" t="s">
        <v>96</v>
      </c>
      <c r="B20" s="88" t="s">
        <v>167</v>
      </c>
      <c r="C20" s="75">
        <v>1227.89960811525</v>
      </c>
      <c r="D20" s="75">
        <v>2050</v>
      </c>
      <c r="E20" s="75">
        <f t="shared" si="0"/>
        <v>822.10039188475002</v>
      </c>
      <c r="F20" s="75">
        <v>10947.46</v>
      </c>
      <c r="G20" s="75">
        <v>10947.46</v>
      </c>
      <c r="H20" s="75">
        <v>4680</v>
      </c>
      <c r="I20" s="75">
        <f t="shared" si="1"/>
        <v>-6267.4599999999991</v>
      </c>
      <c r="J20" s="74">
        <v>14010.6</v>
      </c>
      <c r="K20" s="74">
        <v>10947.46</v>
      </c>
      <c r="L20" s="74">
        <v>5891.47</v>
      </c>
      <c r="M20" s="75">
        <f t="shared" si="2"/>
        <v>-5055.9899999999989</v>
      </c>
      <c r="N20" s="74">
        <v>10947.46</v>
      </c>
      <c r="O20" s="74">
        <v>10947.46</v>
      </c>
      <c r="P20" s="74">
        <v>787.46</v>
      </c>
      <c r="Q20" s="74">
        <f t="shared" ref="Q20:Q21" si="7">P20-O20</f>
        <v>-10160</v>
      </c>
      <c r="R20" s="74">
        <v>5891.47</v>
      </c>
      <c r="S20" s="74">
        <v>5891.47</v>
      </c>
      <c r="T20" s="74">
        <v>5884.69</v>
      </c>
      <c r="U20" s="74">
        <f t="shared" ref="U20:U21" si="8">T20-S20</f>
        <v>-6.7800000000006548</v>
      </c>
    </row>
    <row r="21" spans="1:21" x14ac:dyDescent="0.25">
      <c r="A21" s="30" t="s">
        <v>97</v>
      </c>
      <c r="B21" s="86" t="s">
        <v>168</v>
      </c>
      <c r="C21" s="75">
        <v>7121.6024185763981</v>
      </c>
      <c r="D21" s="75">
        <f>D22+D23+D25+D28+D32</f>
        <v>10344.08</v>
      </c>
      <c r="E21" s="75">
        <f t="shared" si="0"/>
        <v>3222.4775814236018</v>
      </c>
      <c r="F21" s="75">
        <v>20062</v>
      </c>
      <c r="G21" s="75">
        <v>10126.57</v>
      </c>
      <c r="H21" s="75">
        <v>13834.98</v>
      </c>
      <c r="I21" s="75">
        <f t="shared" si="1"/>
        <v>3708.41</v>
      </c>
      <c r="J21" s="74">
        <v>22011.11</v>
      </c>
      <c r="K21" s="74">
        <v>14787.16</v>
      </c>
      <c r="L21" s="74">
        <f>L23+L24+L25+L28+L32</f>
        <v>14845.660000000002</v>
      </c>
      <c r="M21" s="75">
        <f t="shared" si="2"/>
        <v>58.500000000001819</v>
      </c>
      <c r="N21" s="74">
        <v>20353.490000000002</v>
      </c>
      <c r="O21" s="74">
        <v>14822.81</v>
      </c>
      <c r="P21" s="74">
        <v>16084.07</v>
      </c>
      <c r="Q21" s="74">
        <f t="shared" si="7"/>
        <v>1261.2600000000002</v>
      </c>
      <c r="R21" s="74">
        <f>R23+R24+R25+R28+R32+R34</f>
        <v>17201.399999999998</v>
      </c>
      <c r="S21" s="74">
        <f>S23+S24+S25+S28+S32+S34</f>
        <v>15830.99</v>
      </c>
      <c r="T21" s="74">
        <f>T23+T24+T25+T28+T32+T34</f>
        <v>16720.490000000002</v>
      </c>
      <c r="U21" s="74">
        <f t="shared" si="8"/>
        <v>889.50000000000182</v>
      </c>
    </row>
    <row r="22" spans="1:21" ht="26.4" x14ac:dyDescent="0.25">
      <c r="A22" s="89" t="s">
        <v>169</v>
      </c>
      <c r="B22" s="90" t="s">
        <v>322</v>
      </c>
      <c r="C22" s="76">
        <v>550</v>
      </c>
      <c r="D22" s="76">
        <v>550</v>
      </c>
      <c r="E22" s="75">
        <f t="shared" si="0"/>
        <v>0</v>
      </c>
      <c r="F22" s="75">
        <v>0</v>
      </c>
      <c r="G22" s="75">
        <v>0</v>
      </c>
      <c r="H22" s="75">
        <v>355.9</v>
      </c>
      <c r="I22" s="75">
        <f t="shared" si="1"/>
        <v>355.9</v>
      </c>
      <c r="J22" s="74">
        <v>420</v>
      </c>
      <c r="K22" s="74"/>
      <c r="L22" s="74"/>
      <c r="M22" s="75">
        <f t="shared" si="2"/>
        <v>0</v>
      </c>
      <c r="N22" s="74"/>
      <c r="O22" s="74"/>
      <c r="P22" s="74"/>
      <c r="Q22" s="74"/>
      <c r="R22" s="74"/>
      <c r="S22" s="74"/>
      <c r="T22" s="74"/>
      <c r="U22" s="74"/>
    </row>
    <row r="23" spans="1:21" x14ac:dyDescent="0.25">
      <c r="A23" s="30" t="s">
        <v>170</v>
      </c>
      <c r="B23" s="86" t="s">
        <v>290</v>
      </c>
      <c r="C23" s="75">
        <v>37.9</v>
      </c>
      <c r="D23" s="75">
        <v>43.8</v>
      </c>
      <c r="E23" s="75">
        <f t="shared" si="0"/>
        <v>5.8999999999999986</v>
      </c>
      <c r="F23" s="75">
        <v>40</v>
      </c>
      <c r="G23" s="75">
        <v>40</v>
      </c>
      <c r="H23" s="75">
        <v>51.6</v>
      </c>
      <c r="I23" s="75">
        <f t="shared" si="1"/>
        <v>11.600000000000001</v>
      </c>
      <c r="J23" s="74">
        <v>57.5</v>
      </c>
      <c r="K23" s="74"/>
      <c r="L23" s="74"/>
      <c r="M23" s="75">
        <f t="shared" si="2"/>
        <v>0</v>
      </c>
      <c r="N23" s="74">
        <v>58.1</v>
      </c>
      <c r="O23" s="74">
        <v>44.7</v>
      </c>
      <c r="P23" s="74">
        <v>54.8</v>
      </c>
      <c r="Q23" s="74">
        <f t="shared" ref="Q23:Q24" si="9">P23-O23</f>
        <v>10.099999999999994</v>
      </c>
      <c r="R23" s="74">
        <v>56.39</v>
      </c>
      <c r="S23" s="74">
        <v>52.41</v>
      </c>
      <c r="T23" s="74">
        <v>59.37</v>
      </c>
      <c r="U23" s="74">
        <f t="shared" ref="U23:U24" si="10">T23-S23</f>
        <v>6.9600000000000009</v>
      </c>
    </row>
    <row r="24" spans="1:21" ht="16.2" customHeight="1" x14ac:dyDescent="0.25">
      <c r="A24" s="30" t="s">
        <v>171</v>
      </c>
      <c r="B24" s="86" t="s">
        <v>172</v>
      </c>
      <c r="C24" s="77"/>
      <c r="D24" s="74">
        <v>0</v>
      </c>
      <c r="E24" s="75">
        <f t="shared" si="0"/>
        <v>0</v>
      </c>
      <c r="F24" s="75">
        <v>6</v>
      </c>
      <c r="G24" s="75">
        <v>0</v>
      </c>
      <c r="H24" s="75">
        <v>33.1</v>
      </c>
      <c r="I24" s="75">
        <f t="shared" si="1"/>
        <v>33.1</v>
      </c>
      <c r="J24" s="74">
        <v>33.1</v>
      </c>
      <c r="K24" s="74"/>
      <c r="L24" s="74"/>
      <c r="M24" s="75">
        <f t="shared" si="2"/>
        <v>0</v>
      </c>
      <c r="N24" s="74">
        <v>19.100000000000001</v>
      </c>
      <c r="O24" s="74">
        <v>19.100000000000001</v>
      </c>
      <c r="P24" s="74">
        <v>19.43</v>
      </c>
      <c r="Q24" s="74">
        <f t="shared" si="9"/>
        <v>0.32999999999999829</v>
      </c>
      <c r="R24" s="74">
        <v>20</v>
      </c>
      <c r="S24" s="74">
        <v>18.63</v>
      </c>
      <c r="T24" s="74">
        <v>9.3000000000000007</v>
      </c>
      <c r="U24" s="74">
        <f t="shared" si="10"/>
        <v>-9.3299999999999983</v>
      </c>
    </row>
    <row r="25" spans="1:21" ht="103.05" customHeight="1" x14ac:dyDescent="0.25">
      <c r="A25" s="89" t="s">
        <v>291</v>
      </c>
      <c r="B25" s="86" t="s">
        <v>292</v>
      </c>
      <c r="C25" s="75">
        <v>5267.95</v>
      </c>
      <c r="D25" s="75">
        <v>5351.88</v>
      </c>
      <c r="E25" s="75">
        <f t="shared" si="0"/>
        <v>83.930000000000291</v>
      </c>
      <c r="F25" s="75">
        <v>9111</v>
      </c>
      <c r="G25" s="75">
        <v>5528.72</v>
      </c>
      <c r="H25" s="75">
        <v>9074.0499999999993</v>
      </c>
      <c r="I25" s="75">
        <f t="shared" si="1"/>
        <v>3545.329999999999</v>
      </c>
      <c r="J25" s="74">
        <v>13095.1</v>
      </c>
      <c r="K25" s="74">
        <v>9557.8700000000008</v>
      </c>
      <c r="L25" s="74">
        <v>9197.2800000000007</v>
      </c>
      <c r="M25" s="75">
        <f t="shared" si="2"/>
        <v>-360.59000000000015</v>
      </c>
      <c r="N25" s="74">
        <v>13144.83</v>
      </c>
      <c r="O25" s="74">
        <v>9531.93</v>
      </c>
      <c r="P25" s="74">
        <v>10583.75</v>
      </c>
      <c r="Q25" s="74">
        <f>P25-O25</f>
        <v>1051.8199999999997</v>
      </c>
      <c r="R25" s="74">
        <v>8765.6299999999992</v>
      </c>
      <c r="S25" s="74">
        <v>8878.5499999999993</v>
      </c>
      <c r="T25" s="74">
        <v>9943.2800000000007</v>
      </c>
      <c r="U25" s="74">
        <f>T25-S25</f>
        <v>1064.7300000000014</v>
      </c>
    </row>
    <row r="26" spans="1:21" ht="26.4" x14ac:dyDescent="0.25">
      <c r="A26" s="30" t="s">
        <v>293</v>
      </c>
      <c r="B26" s="86" t="s">
        <v>294</v>
      </c>
      <c r="C26" s="77"/>
      <c r="D26" s="77"/>
      <c r="E26" s="75">
        <f t="shared" si="0"/>
        <v>0</v>
      </c>
      <c r="F26" s="75"/>
      <c r="G26" s="75"/>
      <c r="H26" s="75"/>
      <c r="I26" s="75">
        <f t="shared" si="1"/>
        <v>0</v>
      </c>
      <c r="J26" s="74"/>
      <c r="K26" s="74"/>
      <c r="L26" s="74"/>
      <c r="M26" s="75">
        <f t="shared" si="2"/>
        <v>0</v>
      </c>
      <c r="N26" s="74"/>
      <c r="O26" s="74"/>
      <c r="P26" s="74"/>
      <c r="Q26" s="74"/>
      <c r="R26" s="74"/>
      <c r="S26" s="74"/>
      <c r="T26" s="74"/>
      <c r="U26" s="74"/>
    </row>
    <row r="27" spans="1:21" x14ac:dyDescent="0.25">
      <c r="A27" s="30" t="s">
        <v>295</v>
      </c>
      <c r="B27" s="86" t="s">
        <v>296</v>
      </c>
      <c r="C27" s="75"/>
      <c r="D27" s="75"/>
      <c r="E27" s="75">
        <f t="shared" si="0"/>
        <v>0</v>
      </c>
      <c r="F27" s="75"/>
      <c r="G27" s="75"/>
      <c r="H27" s="75"/>
      <c r="I27" s="75">
        <f t="shared" si="1"/>
        <v>0</v>
      </c>
      <c r="J27" s="74"/>
      <c r="K27" s="74"/>
      <c r="L27" s="74"/>
      <c r="M27" s="75">
        <f t="shared" si="2"/>
        <v>0</v>
      </c>
      <c r="N27" s="74"/>
      <c r="O27" s="74"/>
      <c r="P27" s="74"/>
      <c r="Q27" s="74"/>
      <c r="R27" s="74"/>
      <c r="S27" s="74"/>
      <c r="T27" s="74"/>
      <c r="U27" s="74"/>
    </row>
    <row r="28" spans="1:21" ht="26.4" x14ac:dyDescent="0.25">
      <c r="A28" s="30" t="s">
        <v>173</v>
      </c>
      <c r="B28" s="86" t="s">
        <v>174</v>
      </c>
      <c r="C28" s="75">
        <v>314.2094675925</v>
      </c>
      <c r="D28" s="75">
        <v>821.9</v>
      </c>
      <c r="E28" s="75">
        <f t="shared" si="0"/>
        <v>507.69053240749997</v>
      </c>
      <c r="F28" s="75">
        <v>6354</v>
      </c>
      <c r="G28" s="75">
        <v>3034.88</v>
      </c>
      <c r="H28" s="75">
        <v>1926.26</v>
      </c>
      <c r="I28" s="75">
        <f t="shared" si="1"/>
        <v>-1108.6200000000001</v>
      </c>
      <c r="J28" s="74">
        <v>3676.2</v>
      </c>
      <c r="K28" s="74">
        <v>3526.28</v>
      </c>
      <c r="L28" s="74">
        <v>2914.3</v>
      </c>
      <c r="M28" s="75">
        <f t="shared" si="2"/>
        <v>-611.98</v>
      </c>
      <c r="N28" s="74">
        <v>3526.33</v>
      </c>
      <c r="O28" s="74">
        <v>3526.33</v>
      </c>
      <c r="P28" s="74">
        <v>2824.57</v>
      </c>
      <c r="Q28" s="74">
        <f>P28-O28</f>
        <v>-701.75999999999976</v>
      </c>
      <c r="R28" s="74">
        <f>R30+R31</f>
        <v>2914.33</v>
      </c>
      <c r="S28" s="74">
        <f>S30+S31</f>
        <v>2914.33</v>
      </c>
      <c r="T28" s="74">
        <v>2706.88</v>
      </c>
      <c r="U28" s="74">
        <f>T28-S28</f>
        <v>-207.44999999999982</v>
      </c>
    </row>
    <row r="29" spans="1:21" x14ac:dyDescent="0.25">
      <c r="A29" s="30" t="s">
        <v>175</v>
      </c>
      <c r="B29" s="86" t="s">
        <v>176</v>
      </c>
      <c r="C29" s="74"/>
      <c r="D29" s="74"/>
      <c r="E29" s="75">
        <f t="shared" si="0"/>
        <v>0</v>
      </c>
      <c r="F29" s="75"/>
      <c r="G29" s="75"/>
      <c r="H29" s="75"/>
      <c r="I29" s="75">
        <f t="shared" si="1"/>
        <v>0</v>
      </c>
      <c r="J29" s="74"/>
      <c r="K29" s="74"/>
      <c r="L29" s="74"/>
      <c r="M29" s="75">
        <f t="shared" si="2"/>
        <v>0</v>
      </c>
      <c r="N29" s="74"/>
      <c r="O29" s="74"/>
      <c r="P29" s="74"/>
      <c r="Q29" s="74"/>
      <c r="R29" s="74"/>
      <c r="S29" s="74"/>
      <c r="T29" s="74"/>
      <c r="U29" s="74"/>
    </row>
    <row r="30" spans="1:21" x14ac:dyDescent="0.25">
      <c r="A30" s="30" t="s">
        <v>177</v>
      </c>
      <c r="B30" s="86" t="s">
        <v>178</v>
      </c>
      <c r="C30" s="75">
        <v>27.910499999999999</v>
      </c>
      <c r="D30" s="75">
        <v>32</v>
      </c>
      <c r="E30" s="75">
        <f t="shared" si="0"/>
        <v>4.089500000000001</v>
      </c>
      <c r="F30" s="75">
        <v>42</v>
      </c>
      <c r="G30" s="75">
        <v>39.71</v>
      </c>
      <c r="H30" s="75">
        <v>44.93</v>
      </c>
      <c r="I30" s="75">
        <f t="shared" si="1"/>
        <v>5.2199999999999989</v>
      </c>
      <c r="J30" s="74">
        <v>45.54</v>
      </c>
      <c r="K30" s="74">
        <v>45.55</v>
      </c>
      <c r="L30" s="74">
        <v>46.9</v>
      </c>
      <c r="M30" s="75">
        <f t="shared" si="2"/>
        <v>1.3500000000000014</v>
      </c>
      <c r="N30" s="74">
        <v>45.6</v>
      </c>
      <c r="O30" s="74">
        <v>45.6</v>
      </c>
      <c r="P30" s="74">
        <v>52.57</v>
      </c>
      <c r="Q30" s="74">
        <f t="shared" ref="Q30:Q37" si="11">P30-O30</f>
        <v>6.9699999999999989</v>
      </c>
      <c r="R30" s="74">
        <v>46.93</v>
      </c>
      <c r="S30" s="74">
        <v>46.93</v>
      </c>
      <c r="T30" s="74">
        <v>52.91</v>
      </c>
      <c r="U30" s="74">
        <f t="shared" ref="U30:U35" si="12">T30-S30</f>
        <v>5.9799999999999969</v>
      </c>
    </row>
    <row r="31" spans="1:21" x14ac:dyDescent="0.25">
      <c r="A31" s="30" t="s">
        <v>179</v>
      </c>
      <c r="B31" s="86" t="s">
        <v>180</v>
      </c>
      <c r="C31" s="75">
        <v>286.29896759249999</v>
      </c>
      <c r="D31" s="75">
        <v>789.9</v>
      </c>
      <c r="E31" s="75">
        <f t="shared" si="0"/>
        <v>503.60103240749999</v>
      </c>
      <c r="F31" s="75">
        <v>6312</v>
      </c>
      <c r="G31" s="75">
        <v>2995.17</v>
      </c>
      <c r="H31" s="75">
        <v>1881.33</v>
      </c>
      <c r="I31" s="75">
        <f t="shared" si="1"/>
        <v>-1113.8400000000001</v>
      </c>
      <c r="J31" s="74">
        <v>3630.66</v>
      </c>
      <c r="K31" s="74">
        <v>3480.73</v>
      </c>
      <c r="L31" s="74">
        <v>2867.4</v>
      </c>
      <c r="M31" s="75">
        <f t="shared" si="2"/>
        <v>-613.32999999999993</v>
      </c>
      <c r="N31" s="74">
        <v>3480.73</v>
      </c>
      <c r="O31" s="74">
        <v>3480.73</v>
      </c>
      <c r="P31" s="76">
        <v>2772</v>
      </c>
      <c r="Q31" s="74">
        <f t="shared" si="11"/>
        <v>-708.73</v>
      </c>
      <c r="R31" s="74">
        <v>2867.4</v>
      </c>
      <c r="S31" s="74">
        <v>2867.4</v>
      </c>
      <c r="T31" s="76">
        <v>2653.97</v>
      </c>
      <c r="U31" s="74">
        <f t="shared" si="12"/>
        <v>-213.43000000000029</v>
      </c>
    </row>
    <row r="32" spans="1:21" ht="26.4" x14ac:dyDescent="0.25">
      <c r="A32" s="30" t="s">
        <v>181</v>
      </c>
      <c r="B32" s="86" t="s">
        <v>297</v>
      </c>
      <c r="C32" s="76">
        <v>951.54295098389855</v>
      </c>
      <c r="D32" s="75">
        <v>3576.5</v>
      </c>
      <c r="E32" s="75">
        <f t="shared" si="0"/>
        <v>2624.9570490161013</v>
      </c>
      <c r="F32" s="75">
        <v>4551</v>
      </c>
      <c r="G32" s="75">
        <v>1522.97</v>
      </c>
      <c r="H32" s="75">
        <v>2394.04</v>
      </c>
      <c r="I32" s="75">
        <f t="shared" si="1"/>
        <v>871.06999999999994</v>
      </c>
      <c r="J32" s="74">
        <v>4742.28</v>
      </c>
      <c r="K32" s="74">
        <v>1703.01</v>
      </c>
      <c r="L32" s="74">
        <v>2734.08</v>
      </c>
      <c r="M32" s="75">
        <f t="shared" si="2"/>
        <v>1031.07</v>
      </c>
      <c r="N32" s="74">
        <v>3605.18</v>
      </c>
      <c r="O32" s="74">
        <v>1700.76</v>
      </c>
      <c r="P32" s="74">
        <v>2601.5700000000002</v>
      </c>
      <c r="Q32" s="74">
        <f t="shared" si="11"/>
        <v>900.81000000000017</v>
      </c>
      <c r="R32" s="74">
        <v>5445.05</v>
      </c>
      <c r="S32" s="74">
        <f>2866.46-52.41+1153.02</f>
        <v>3967.07</v>
      </c>
      <c r="T32" s="74">
        <v>4001.66</v>
      </c>
      <c r="U32" s="74">
        <f t="shared" si="12"/>
        <v>34.589999999999691</v>
      </c>
    </row>
    <row r="33" spans="1:21" x14ac:dyDescent="0.25">
      <c r="A33" s="30" t="s">
        <v>299</v>
      </c>
      <c r="B33" s="86" t="s">
        <v>577</v>
      </c>
      <c r="C33" s="74"/>
      <c r="D33" s="74"/>
      <c r="E33" s="75">
        <f t="shared" si="0"/>
        <v>0</v>
      </c>
      <c r="F33" s="75"/>
      <c r="G33" s="75"/>
      <c r="H33" s="75"/>
      <c r="I33" s="75">
        <f t="shared" si="1"/>
        <v>0</v>
      </c>
      <c r="J33" s="74"/>
      <c r="K33" s="74"/>
      <c r="L33" s="74"/>
      <c r="M33" s="75">
        <f t="shared" si="2"/>
        <v>0</v>
      </c>
      <c r="N33" s="74"/>
      <c r="O33" s="74"/>
      <c r="P33" s="74"/>
      <c r="Q33" s="74">
        <f t="shared" si="11"/>
        <v>0</v>
      </c>
      <c r="R33" s="74"/>
      <c r="S33" s="74">
        <v>1153.02</v>
      </c>
      <c r="T33" s="74">
        <v>1153.02</v>
      </c>
      <c r="U33" s="74">
        <f t="shared" si="12"/>
        <v>0</v>
      </c>
    </row>
    <row r="34" spans="1:21" ht="18.600000000000001" customHeight="1" x14ac:dyDescent="0.25">
      <c r="A34" s="32" t="s">
        <v>437</v>
      </c>
      <c r="B34" s="86" t="s">
        <v>462</v>
      </c>
      <c r="C34" s="74"/>
      <c r="D34" s="74"/>
      <c r="E34" s="75">
        <f t="shared" si="0"/>
        <v>0</v>
      </c>
      <c r="F34" s="75"/>
      <c r="G34" s="75"/>
      <c r="H34" s="75"/>
      <c r="I34" s="75">
        <f t="shared" si="1"/>
        <v>0</v>
      </c>
      <c r="J34" s="74"/>
      <c r="K34" s="74"/>
      <c r="L34" s="74"/>
      <c r="M34" s="75">
        <f t="shared" si="2"/>
        <v>0</v>
      </c>
      <c r="N34" s="74"/>
      <c r="O34" s="74"/>
      <c r="P34" s="74"/>
      <c r="Q34" s="74">
        <f t="shared" si="11"/>
        <v>0</v>
      </c>
      <c r="R34" s="74"/>
      <c r="S34" s="74"/>
      <c r="T34" s="74"/>
      <c r="U34" s="74">
        <f t="shared" si="12"/>
        <v>0</v>
      </c>
    </row>
    <row r="35" spans="1:21" x14ac:dyDescent="0.25">
      <c r="A35" s="30" t="s">
        <v>98</v>
      </c>
      <c r="B35" s="91" t="s">
        <v>183</v>
      </c>
      <c r="C35" s="78">
        <v>30749.128992977749</v>
      </c>
      <c r="D35" s="78">
        <v>38164.400000000001</v>
      </c>
      <c r="E35" s="79">
        <f t="shared" si="0"/>
        <v>7415.2710070222529</v>
      </c>
      <c r="F35" s="79">
        <v>145940</v>
      </c>
      <c r="G35" s="79">
        <v>62049.24</v>
      </c>
      <c r="H35" s="79">
        <v>58510.5</v>
      </c>
      <c r="I35" s="79">
        <f t="shared" si="1"/>
        <v>-3538.739999999998</v>
      </c>
      <c r="J35" s="80">
        <v>154523.14000000001</v>
      </c>
      <c r="K35" s="80">
        <v>69936.67</v>
      </c>
      <c r="L35" s="80">
        <f>L7+L8+L10+L13+L16+L18+L20+L21</f>
        <v>70149.55</v>
      </c>
      <c r="M35" s="79">
        <f t="shared" si="2"/>
        <v>212.88000000000466</v>
      </c>
      <c r="N35" s="80">
        <v>81792.08</v>
      </c>
      <c r="O35" s="80">
        <v>71642.350000000006</v>
      </c>
      <c r="P35" s="80">
        <f>P7+P8+P10+P13+P16+P18+P20+P21</f>
        <v>62428.819999999992</v>
      </c>
      <c r="Q35" s="80">
        <f t="shared" si="11"/>
        <v>-9213.5300000000134</v>
      </c>
      <c r="R35" s="79">
        <f t="shared" ref="R35" si="13">R7+R8+R10+R13+R16+R18+R20+R21</f>
        <v>152485.32999999999</v>
      </c>
      <c r="S35" s="80">
        <f>S7+S8+S10+S13+S16+S18+S20+S21</f>
        <v>86158.720000000001</v>
      </c>
      <c r="T35" s="80">
        <f>T7+T8+T10+T13+T16+T18+T20+T21</f>
        <v>80544.260000000009</v>
      </c>
      <c r="U35" s="80">
        <f t="shared" si="12"/>
        <v>-5614.4599999999919</v>
      </c>
    </row>
    <row r="36" spans="1:21" x14ac:dyDescent="0.25">
      <c r="A36" s="30" t="s">
        <v>99</v>
      </c>
      <c r="B36" s="86" t="s">
        <v>184</v>
      </c>
      <c r="C36" s="74"/>
      <c r="D36" s="74"/>
      <c r="E36" s="75">
        <f t="shared" si="0"/>
        <v>0</v>
      </c>
      <c r="F36" s="75">
        <v>696.75</v>
      </c>
      <c r="G36" s="75">
        <v>2452.17</v>
      </c>
      <c r="H36" s="75"/>
      <c r="I36" s="75">
        <f t="shared" si="1"/>
        <v>-2452.17</v>
      </c>
      <c r="J36" s="74"/>
      <c r="K36" s="74">
        <v>1849.82</v>
      </c>
      <c r="L36" s="74"/>
      <c r="M36" s="75">
        <f t="shared" si="2"/>
        <v>-1849.82</v>
      </c>
      <c r="N36" s="74"/>
      <c r="O36" s="74"/>
      <c r="P36" s="74"/>
      <c r="Q36" s="74">
        <f t="shared" si="11"/>
        <v>0</v>
      </c>
      <c r="R36" s="74"/>
      <c r="S36" s="74">
        <v>10676.78</v>
      </c>
      <c r="T36" s="74"/>
      <c r="U36" s="74"/>
    </row>
    <row r="37" spans="1:21" ht="24" customHeight="1" x14ac:dyDescent="0.25">
      <c r="A37" s="30" t="s">
        <v>185</v>
      </c>
      <c r="B37" s="86" t="s">
        <v>186</v>
      </c>
      <c r="C37" s="74"/>
      <c r="D37" s="74"/>
      <c r="E37" s="75">
        <f t="shared" si="0"/>
        <v>0</v>
      </c>
      <c r="F37" s="75"/>
      <c r="G37" s="75"/>
      <c r="H37" s="75"/>
      <c r="I37" s="75">
        <f t="shared" si="1"/>
        <v>0</v>
      </c>
      <c r="J37" s="74"/>
      <c r="K37" s="74"/>
      <c r="L37" s="74"/>
      <c r="M37" s="75">
        <f t="shared" si="2"/>
        <v>0</v>
      </c>
      <c r="N37" s="74"/>
      <c r="O37" s="74">
        <v>-6378.51</v>
      </c>
      <c r="P37" s="74"/>
      <c r="Q37" s="74">
        <f t="shared" si="11"/>
        <v>6378.51</v>
      </c>
      <c r="R37" s="74"/>
      <c r="S37" s="74">
        <v>-22798.57</v>
      </c>
      <c r="T37" s="74"/>
      <c r="U37" s="74"/>
    </row>
    <row r="38" spans="1:21" x14ac:dyDescent="0.25">
      <c r="A38" s="31" t="s">
        <v>187</v>
      </c>
      <c r="B38" s="86" t="s">
        <v>188</v>
      </c>
      <c r="C38" s="78">
        <v>30749.128992977749</v>
      </c>
      <c r="D38" s="78">
        <v>38164.400000000001</v>
      </c>
      <c r="E38" s="79">
        <f t="shared" si="0"/>
        <v>7415.2710070222529</v>
      </c>
      <c r="F38" s="79">
        <v>146636.79999999999</v>
      </c>
      <c r="G38" s="79">
        <v>64501.41</v>
      </c>
      <c r="H38" s="79">
        <v>58510.5</v>
      </c>
      <c r="I38" s="79">
        <f t="shared" si="1"/>
        <v>-5990.9100000000035</v>
      </c>
      <c r="J38" s="80">
        <v>154523.14000000001</v>
      </c>
      <c r="K38" s="80">
        <v>71786.490000000005</v>
      </c>
      <c r="L38" s="80">
        <f>L35+L36</f>
        <v>70149.55</v>
      </c>
      <c r="M38" s="79">
        <f t="shared" si="2"/>
        <v>-1636.9400000000023</v>
      </c>
      <c r="N38" s="80">
        <v>81792.08</v>
      </c>
      <c r="O38" s="80">
        <v>65263.85</v>
      </c>
      <c r="P38" s="80">
        <f>P35+P36</f>
        <v>62428.819999999992</v>
      </c>
      <c r="Q38" s="80">
        <f>P38-O38</f>
        <v>-2835.0300000000061</v>
      </c>
      <c r="R38" s="79">
        <f>R35+R37</f>
        <v>152485.32999999999</v>
      </c>
      <c r="S38" s="80">
        <f>S35+S37+S36</f>
        <v>74036.930000000008</v>
      </c>
      <c r="T38" s="80">
        <f>T35+T36</f>
        <v>80544.260000000009</v>
      </c>
      <c r="U38" s="80">
        <f>T38-S38</f>
        <v>6507.3300000000017</v>
      </c>
    </row>
    <row r="39" spans="1:21" x14ac:dyDescent="0.25">
      <c r="A39" s="30"/>
      <c r="B39" s="86" t="s">
        <v>189</v>
      </c>
      <c r="C39" s="74"/>
      <c r="D39" s="74"/>
      <c r="E39" s="75">
        <f t="shared" si="0"/>
        <v>0</v>
      </c>
      <c r="F39" s="75"/>
      <c r="G39" s="75"/>
      <c r="H39" s="75"/>
      <c r="I39" s="75">
        <f t="shared" si="1"/>
        <v>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</row>
    <row r="40" spans="1:21" x14ac:dyDescent="0.25">
      <c r="A40" s="32" t="s">
        <v>190</v>
      </c>
      <c r="B40" s="86" t="s">
        <v>191</v>
      </c>
      <c r="C40" s="74"/>
      <c r="D40" s="74"/>
      <c r="E40" s="75">
        <f t="shared" si="0"/>
        <v>0</v>
      </c>
      <c r="F40" s="75"/>
      <c r="G40" s="75"/>
      <c r="H40" s="75"/>
      <c r="I40" s="75">
        <f t="shared" si="1"/>
        <v>0</v>
      </c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</row>
    <row r="41" spans="1:21" x14ac:dyDescent="0.25">
      <c r="A41" s="30" t="s">
        <v>198</v>
      </c>
      <c r="B41" s="86" t="s">
        <v>199</v>
      </c>
      <c r="C41" s="74"/>
      <c r="D41" s="74"/>
      <c r="E41" s="75">
        <f t="shared" si="0"/>
        <v>0</v>
      </c>
      <c r="F41" s="75"/>
      <c r="G41" s="75"/>
      <c r="H41" s="75"/>
      <c r="I41" s="75">
        <f t="shared" si="1"/>
        <v>0</v>
      </c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</row>
    <row r="42" spans="1:21" x14ac:dyDescent="0.25">
      <c r="A42" s="30" t="s">
        <v>206</v>
      </c>
      <c r="B42" s="86" t="s">
        <v>207</v>
      </c>
      <c r="C42" s="74"/>
      <c r="D42" s="74"/>
      <c r="E42" s="75">
        <f t="shared" si="0"/>
        <v>0</v>
      </c>
      <c r="F42" s="75"/>
      <c r="G42" s="75"/>
      <c r="H42" s="75"/>
      <c r="I42" s="75">
        <f t="shared" si="1"/>
        <v>0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</row>
    <row r="43" spans="1:21" x14ac:dyDescent="0.25">
      <c r="A43" s="183">
        <v>14</v>
      </c>
      <c r="B43" s="92" t="s">
        <v>208</v>
      </c>
      <c r="C43" s="78">
        <v>187.37187392541315</v>
      </c>
      <c r="D43" s="78">
        <v>35</v>
      </c>
      <c r="E43" s="79">
        <f t="shared" si="0"/>
        <v>-152.37187392541315</v>
      </c>
      <c r="F43" s="79">
        <v>14240</v>
      </c>
      <c r="G43" s="79">
        <v>231.15</v>
      </c>
      <c r="H43" s="79">
        <v>119.6</v>
      </c>
      <c r="I43" s="79">
        <f t="shared" si="1"/>
        <v>-111.55000000000001</v>
      </c>
      <c r="J43" s="80">
        <v>28522</v>
      </c>
      <c r="K43" s="80">
        <v>7760.04</v>
      </c>
      <c r="L43" s="80">
        <v>770.29</v>
      </c>
      <c r="M43" s="79">
        <f t="shared" ref="M43:M46" si="14">L43-K43</f>
        <v>-6989.75</v>
      </c>
      <c r="N43" s="80">
        <v>8274.01</v>
      </c>
      <c r="O43" s="80">
        <v>8587.8799999999992</v>
      </c>
      <c r="P43" s="80">
        <v>343.67</v>
      </c>
      <c r="Q43" s="80">
        <f t="shared" ref="Q43:Q46" si="15">P43-O43</f>
        <v>-8244.2099999999991</v>
      </c>
      <c r="R43" s="80">
        <v>13160.61</v>
      </c>
      <c r="S43" s="80">
        <v>628.74</v>
      </c>
      <c r="T43" s="80">
        <v>323.64</v>
      </c>
      <c r="U43" s="80">
        <f t="shared" ref="U43:U46" si="16">T43-S43</f>
        <v>-305.10000000000002</v>
      </c>
    </row>
    <row r="44" spans="1:21" x14ac:dyDescent="0.25">
      <c r="A44" s="184">
        <v>15</v>
      </c>
      <c r="B44" s="91" t="s">
        <v>532</v>
      </c>
      <c r="C44" s="78">
        <v>30936.500866903163</v>
      </c>
      <c r="D44" s="78">
        <f>D38+D43</f>
        <v>38199.4</v>
      </c>
      <c r="E44" s="79">
        <f t="shared" si="0"/>
        <v>7262.8991330968383</v>
      </c>
      <c r="F44" s="79">
        <v>160876.79999999999</v>
      </c>
      <c r="G44" s="79">
        <v>64732.56</v>
      </c>
      <c r="H44" s="79">
        <v>58630.1</v>
      </c>
      <c r="I44" s="79">
        <f t="shared" si="1"/>
        <v>-6102.4599999999991</v>
      </c>
      <c r="J44" s="80">
        <v>183045.14</v>
      </c>
      <c r="K44" s="80">
        <v>79546.53</v>
      </c>
      <c r="L44" s="80">
        <f>L38+L43</f>
        <v>70919.839999999997</v>
      </c>
      <c r="M44" s="79">
        <f t="shared" si="14"/>
        <v>-8626.6900000000023</v>
      </c>
      <c r="N44" s="80">
        <v>90066.09</v>
      </c>
      <c r="O44" s="80">
        <v>73851.73</v>
      </c>
      <c r="P44" s="80">
        <f>P38+P43</f>
        <v>62772.489999999991</v>
      </c>
      <c r="Q44" s="80">
        <f t="shared" si="15"/>
        <v>-11079.240000000005</v>
      </c>
      <c r="R44" s="79">
        <f>R38+R43</f>
        <v>165645.94</v>
      </c>
      <c r="S44" s="80">
        <v>74665.649999999994</v>
      </c>
      <c r="T44" s="80">
        <f>T38+T43</f>
        <v>80867.900000000009</v>
      </c>
      <c r="U44" s="80">
        <f t="shared" si="16"/>
        <v>6202.2500000000146</v>
      </c>
    </row>
    <row r="45" spans="1:21" ht="15.6" x14ac:dyDescent="0.3">
      <c r="A45" s="185">
        <v>16</v>
      </c>
      <c r="B45" s="80" t="s">
        <v>533</v>
      </c>
      <c r="C45" s="186"/>
      <c r="D45" s="186"/>
      <c r="E45" s="76"/>
      <c r="F45" s="74"/>
      <c r="G45" s="188">
        <v>20602.45</v>
      </c>
      <c r="H45" s="188">
        <v>26786</v>
      </c>
      <c r="I45" s="79">
        <f t="shared" si="1"/>
        <v>6183.5499999999993</v>
      </c>
      <c r="J45" s="74"/>
      <c r="K45" s="80">
        <v>21312.65</v>
      </c>
      <c r="L45" s="80">
        <v>30804.3</v>
      </c>
      <c r="M45" s="79">
        <f t="shared" si="14"/>
        <v>9491.6499999999978</v>
      </c>
      <c r="N45" s="74"/>
      <c r="O45" s="188">
        <v>20939.8</v>
      </c>
      <c r="P45" s="188">
        <v>34167.550000000003</v>
      </c>
      <c r="Q45" s="80">
        <f t="shared" si="15"/>
        <v>13227.750000000004</v>
      </c>
      <c r="R45" s="80">
        <v>24105.65</v>
      </c>
      <c r="S45" s="80">
        <v>24105.65</v>
      </c>
      <c r="T45" s="80">
        <v>33537.24</v>
      </c>
      <c r="U45" s="80">
        <f t="shared" si="16"/>
        <v>9431.5899999999965</v>
      </c>
    </row>
    <row r="46" spans="1:21" x14ac:dyDescent="0.25">
      <c r="A46" s="187">
        <v>17</v>
      </c>
      <c r="B46" s="80" t="s">
        <v>534</v>
      </c>
      <c r="C46" s="74"/>
      <c r="D46" s="74"/>
      <c r="E46" s="74"/>
      <c r="F46" s="74"/>
      <c r="G46" s="188">
        <v>85335.01</v>
      </c>
      <c r="H46" s="188">
        <v>85416.1</v>
      </c>
      <c r="I46" s="79">
        <f t="shared" si="1"/>
        <v>81.090000000011059</v>
      </c>
      <c r="J46" s="74"/>
      <c r="K46" s="188">
        <v>100859.18</v>
      </c>
      <c r="L46" s="188">
        <v>101724.14</v>
      </c>
      <c r="M46" s="79">
        <f t="shared" si="14"/>
        <v>864.9600000000064</v>
      </c>
      <c r="N46" s="74"/>
      <c r="O46" s="188">
        <v>94791.53</v>
      </c>
      <c r="P46" s="188">
        <v>109226.18</v>
      </c>
      <c r="Q46" s="80">
        <f t="shared" si="15"/>
        <v>14434.649999999994</v>
      </c>
      <c r="R46" s="80">
        <f>R44+R45</f>
        <v>189751.59</v>
      </c>
      <c r="S46" s="80">
        <f>S44+S45</f>
        <v>98771.299999999988</v>
      </c>
      <c r="T46" s="80">
        <f>T44+T45</f>
        <v>114405.14000000001</v>
      </c>
      <c r="U46" s="80">
        <f t="shared" si="16"/>
        <v>15633.840000000026</v>
      </c>
    </row>
    <row r="47" spans="1:21" x14ac:dyDescent="0.25">
      <c r="A47" s="187">
        <v>18</v>
      </c>
      <c r="B47" s="80" t="s">
        <v>535</v>
      </c>
      <c r="C47" s="74"/>
      <c r="D47" s="74"/>
      <c r="E47" s="74"/>
      <c r="F47" s="74"/>
      <c r="G47" s="188"/>
      <c r="H47" s="188">
        <v>82182</v>
      </c>
      <c r="I47" s="74"/>
      <c r="J47" s="74"/>
      <c r="K47" s="74"/>
      <c r="L47" s="189">
        <v>97994</v>
      </c>
      <c r="M47" s="79"/>
      <c r="N47" s="74"/>
      <c r="O47" s="188"/>
      <c r="P47" s="188">
        <v>70452.45</v>
      </c>
      <c r="Q47" s="74"/>
      <c r="R47" s="80"/>
      <c r="S47" s="80"/>
      <c r="T47" s="80">
        <v>103082.7</v>
      </c>
      <c r="U47" s="74"/>
    </row>
    <row r="48" spans="1:21" x14ac:dyDescent="0.25">
      <c r="A48" s="187">
        <v>19</v>
      </c>
      <c r="B48" s="80" t="s">
        <v>536</v>
      </c>
      <c r="C48" s="74"/>
      <c r="D48" s="74"/>
      <c r="E48" s="74"/>
      <c r="F48" s="74"/>
      <c r="G48" s="188"/>
      <c r="H48" s="188" t="s">
        <v>538</v>
      </c>
      <c r="I48" s="74"/>
      <c r="J48" s="74"/>
      <c r="K48" s="74"/>
      <c r="L48" s="190" t="s">
        <v>537</v>
      </c>
      <c r="M48" s="79"/>
      <c r="N48" s="74"/>
      <c r="O48" s="188"/>
      <c r="P48" s="188" t="s">
        <v>539</v>
      </c>
      <c r="Q48" s="74"/>
      <c r="R48" s="80"/>
      <c r="S48" s="80"/>
      <c r="T48" s="188">
        <v>-12930</v>
      </c>
      <c r="U48" s="74"/>
    </row>
    <row r="50" spans="1:2" x14ac:dyDescent="0.25">
      <c r="A50" s="4" t="s">
        <v>0</v>
      </c>
      <c r="B50" s="215" t="s">
        <v>282</v>
      </c>
    </row>
  </sheetData>
  <mergeCells count="15">
    <mergeCell ref="A2:C2"/>
    <mergeCell ref="A4:A5"/>
    <mergeCell ref="B4:B5"/>
    <mergeCell ref="F4:G4"/>
    <mergeCell ref="N4:O4"/>
    <mergeCell ref="M4:M5"/>
    <mergeCell ref="I4:I5"/>
    <mergeCell ref="H4:H5"/>
    <mergeCell ref="J4:K4"/>
    <mergeCell ref="L4:L5"/>
    <mergeCell ref="R4:S4"/>
    <mergeCell ref="T4:T5"/>
    <mergeCell ref="U4:U5"/>
    <mergeCell ref="Q4:Q5"/>
    <mergeCell ref="P4:P5"/>
  </mergeCells>
  <pageMargins left="0.70866141732283472" right="0.70866141732283472" top="0.19685039370078741" bottom="0.15748031496062992" header="0.31496062992125984" footer="0.31496062992125984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topLeftCell="A22" zoomScaleNormal="100" workbookViewId="0">
      <selection activeCell="I100" sqref="I100"/>
    </sheetView>
  </sheetViews>
  <sheetFormatPr defaultColWidth="9.21875" defaultRowHeight="13.2" x14ac:dyDescent="0.25"/>
  <cols>
    <col min="1" max="1" width="8.44140625" style="4" customWidth="1"/>
    <col min="2" max="2" width="35.88671875" style="4" customWidth="1"/>
    <col min="3" max="3" width="12" style="4" customWidth="1"/>
    <col min="4" max="4" width="10.21875" style="4" customWidth="1"/>
    <col min="5" max="5" width="9.6640625" style="4" customWidth="1"/>
    <col min="6" max="6" width="10.88671875" style="4" customWidth="1"/>
    <col min="7" max="253" width="9.21875" style="4"/>
    <col min="254" max="254" width="6.44140625" style="4" customWidth="1"/>
    <col min="255" max="255" width="47.77734375" style="4" customWidth="1"/>
    <col min="256" max="256" width="12.77734375" style="4" customWidth="1"/>
    <col min="257" max="257" width="14.44140625" style="4" customWidth="1"/>
    <col min="258" max="258" width="12.21875" style="4" customWidth="1"/>
    <col min="259" max="260" width="11.77734375" style="4" customWidth="1"/>
    <col min="261" max="509" width="9.21875" style="4"/>
    <col min="510" max="510" width="6.44140625" style="4" customWidth="1"/>
    <col min="511" max="511" width="47.77734375" style="4" customWidth="1"/>
    <col min="512" max="512" width="12.77734375" style="4" customWidth="1"/>
    <col min="513" max="513" width="14.44140625" style="4" customWidth="1"/>
    <col min="514" max="514" width="12.21875" style="4" customWidth="1"/>
    <col min="515" max="516" width="11.77734375" style="4" customWidth="1"/>
    <col min="517" max="765" width="9.21875" style="4"/>
    <col min="766" max="766" width="6.44140625" style="4" customWidth="1"/>
    <col min="767" max="767" width="47.77734375" style="4" customWidth="1"/>
    <col min="768" max="768" width="12.77734375" style="4" customWidth="1"/>
    <col min="769" max="769" width="14.44140625" style="4" customWidth="1"/>
    <col min="770" max="770" width="12.21875" style="4" customWidth="1"/>
    <col min="771" max="772" width="11.77734375" style="4" customWidth="1"/>
    <col min="773" max="1021" width="9.21875" style="4"/>
    <col min="1022" max="1022" width="6.44140625" style="4" customWidth="1"/>
    <col min="1023" max="1023" width="47.77734375" style="4" customWidth="1"/>
    <col min="1024" max="1024" width="12.77734375" style="4" customWidth="1"/>
    <col min="1025" max="1025" width="14.44140625" style="4" customWidth="1"/>
    <col min="1026" max="1026" width="12.21875" style="4" customWidth="1"/>
    <col min="1027" max="1028" width="11.77734375" style="4" customWidth="1"/>
    <col min="1029" max="1277" width="9.21875" style="4"/>
    <col min="1278" max="1278" width="6.44140625" style="4" customWidth="1"/>
    <col min="1279" max="1279" width="47.77734375" style="4" customWidth="1"/>
    <col min="1280" max="1280" width="12.77734375" style="4" customWidth="1"/>
    <col min="1281" max="1281" width="14.44140625" style="4" customWidth="1"/>
    <col min="1282" max="1282" width="12.21875" style="4" customWidth="1"/>
    <col min="1283" max="1284" width="11.77734375" style="4" customWidth="1"/>
    <col min="1285" max="1533" width="9.21875" style="4"/>
    <col min="1534" max="1534" width="6.44140625" style="4" customWidth="1"/>
    <col min="1535" max="1535" width="47.77734375" style="4" customWidth="1"/>
    <col min="1536" max="1536" width="12.77734375" style="4" customWidth="1"/>
    <col min="1537" max="1537" width="14.44140625" style="4" customWidth="1"/>
    <col min="1538" max="1538" width="12.21875" style="4" customWidth="1"/>
    <col min="1539" max="1540" width="11.77734375" style="4" customWidth="1"/>
    <col min="1541" max="1789" width="9.21875" style="4"/>
    <col min="1790" max="1790" width="6.44140625" style="4" customWidth="1"/>
    <col min="1791" max="1791" width="47.77734375" style="4" customWidth="1"/>
    <col min="1792" max="1792" width="12.77734375" style="4" customWidth="1"/>
    <col min="1793" max="1793" width="14.44140625" style="4" customWidth="1"/>
    <col min="1794" max="1794" width="12.21875" style="4" customWidth="1"/>
    <col min="1795" max="1796" width="11.77734375" style="4" customWidth="1"/>
    <col min="1797" max="2045" width="9.21875" style="4"/>
    <col min="2046" max="2046" width="6.44140625" style="4" customWidth="1"/>
    <col min="2047" max="2047" width="47.77734375" style="4" customWidth="1"/>
    <col min="2048" max="2048" width="12.77734375" style="4" customWidth="1"/>
    <col min="2049" max="2049" width="14.44140625" style="4" customWidth="1"/>
    <col min="2050" max="2050" width="12.21875" style="4" customWidth="1"/>
    <col min="2051" max="2052" width="11.77734375" style="4" customWidth="1"/>
    <col min="2053" max="2301" width="9.21875" style="4"/>
    <col min="2302" max="2302" width="6.44140625" style="4" customWidth="1"/>
    <col min="2303" max="2303" width="47.77734375" style="4" customWidth="1"/>
    <col min="2304" max="2304" width="12.77734375" style="4" customWidth="1"/>
    <col min="2305" max="2305" width="14.44140625" style="4" customWidth="1"/>
    <col min="2306" max="2306" width="12.21875" style="4" customWidth="1"/>
    <col min="2307" max="2308" width="11.77734375" style="4" customWidth="1"/>
    <col min="2309" max="2557" width="9.21875" style="4"/>
    <col min="2558" max="2558" width="6.44140625" style="4" customWidth="1"/>
    <col min="2559" max="2559" width="47.77734375" style="4" customWidth="1"/>
    <col min="2560" max="2560" width="12.77734375" style="4" customWidth="1"/>
    <col min="2561" max="2561" width="14.44140625" style="4" customWidth="1"/>
    <col min="2562" max="2562" width="12.21875" style="4" customWidth="1"/>
    <col min="2563" max="2564" width="11.77734375" style="4" customWidth="1"/>
    <col min="2565" max="2813" width="9.21875" style="4"/>
    <col min="2814" max="2814" width="6.44140625" style="4" customWidth="1"/>
    <col min="2815" max="2815" width="47.77734375" style="4" customWidth="1"/>
    <col min="2816" max="2816" width="12.77734375" style="4" customWidth="1"/>
    <col min="2817" max="2817" width="14.44140625" style="4" customWidth="1"/>
    <col min="2818" max="2818" width="12.21875" style="4" customWidth="1"/>
    <col min="2819" max="2820" width="11.77734375" style="4" customWidth="1"/>
    <col min="2821" max="3069" width="9.21875" style="4"/>
    <col min="3070" max="3070" width="6.44140625" style="4" customWidth="1"/>
    <col min="3071" max="3071" width="47.77734375" style="4" customWidth="1"/>
    <col min="3072" max="3072" width="12.77734375" style="4" customWidth="1"/>
    <col min="3073" max="3073" width="14.44140625" style="4" customWidth="1"/>
    <col min="3074" max="3074" width="12.21875" style="4" customWidth="1"/>
    <col min="3075" max="3076" width="11.77734375" style="4" customWidth="1"/>
    <col min="3077" max="3325" width="9.21875" style="4"/>
    <col min="3326" max="3326" width="6.44140625" style="4" customWidth="1"/>
    <col min="3327" max="3327" width="47.77734375" style="4" customWidth="1"/>
    <col min="3328" max="3328" width="12.77734375" style="4" customWidth="1"/>
    <col min="3329" max="3329" width="14.44140625" style="4" customWidth="1"/>
    <col min="3330" max="3330" width="12.21875" style="4" customWidth="1"/>
    <col min="3331" max="3332" width="11.77734375" style="4" customWidth="1"/>
    <col min="3333" max="3581" width="9.21875" style="4"/>
    <col min="3582" max="3582" width="6.44140625" style="4" customWidth="1"/>
    <col min="3583" max="3583" width="47.77734375" style="4" customWidth="1"/>
    <col min="3584" max="3584" width="12.77734375" style="4" customWidth="1"/>
    <col min="3585" max="3585" width="14.44140625" style="4" customWidth="1"/>
    <col min="3586" max="3586" width="12.21875" style="4" customWidth="1"/>
    <col min="3587" max="3588" width="11.77734375" style="4" customWidth="1"/>
    <col min="3589" max="3837" width="9.21875" style="4"/>
    <col min="3838" max="3838" width="6.44140625" style="4" customWidth="1"/>
    <col min="3839" max="3839" width="47.77734375" style="4" customWidth="1"/>
    <col min="3840" max="3840" width="12.77734375" style="4" customWidth="1"/>
    <col min="3841" max="3841" width="14.44140625" style="4" customWidth="1"/>
    <col min="3842" max="3842" width="12.21875" style="4" customWidth="1"/>
    <col min="3843" max="3844" width="11.77734375" style="4" customWidth="1"/>
    <col min="3845" max="4093" width="9.21875" style="4"/>
    <col min="4094" max="4094" width="6.44140625" style="4" customWidth="1"/>
    <col min="4095" max="4095" width="47.77734375" style="4" customWidth="1"/>
    <col min="4096" max="4096" width="12.77734375" style="4" customWidth="1"/>
    <col min="4097" max="4097" width="14.44140625" style="4" customWidth="1"/>
    <col min="4098" max="4098" width="12.21875" style="4" customWidth="1"/>
    <col min="4099" max="4100" width="11.77734375" style="4" customWidth="1"/>
    <col min="4101" max="4349" width="9.21875" style="4"/>
    <col min="4350" max="4350" width="6.44140625" style="4" customWidth="1"/>
    <col min="4351" max="4351" width="47.77734375" style="4" customWidth="1"/>
    <col min="4352" max="4352" width="12.77734375" style="4" customWidth="1"/>
    <col min="4353" max="4353" width="14.44140625" style="4" customWidth="1"/>
    <col min="4354" max="4354" width="12.21875" style="4" customWidth="1"/>
    <col min="4355" max="4356" width="11.77734375" style="4" customWidth="1"/>
    <col min="4357" max="4605" width="9.21875" style="4"/>
    <col min="4606" max="4606" width="6.44140625" style="4" customWidth="1"/>
    <col min="4607" max="4607" width="47.77734375" style="4" customWidth="1"/>
    <col min="4608" max="4608" width="12.77734375" style="4" customWidth="1"/>
    <col min="4609" max="4609" width="14.44140625" style="4" customWidth="1"/>
    <col min="4610" max="4610" width="12.21875" style="4" customWidth="1"/>
    <col min="4611" max="4612" width="11.77734375" style="4" customWidth="1"/>
    <col min="4613" max="4861" width="9.21875" style="4"/>
    <col min="4862" max="4862" width="6.44140625" style="4" customWidth="1"/>
    <col min="4863" max="4863" width="47.77734375" style="4" customWidth="1"/>
    <col min="4864" max="4864" width="12.77734375" style="4" customWidth="1"/>
    <col min="4865" max="4865" width="14.44140625" style="4" customWidth="1"/>
    <col min="4866" max="4866" width="12.21875" style="4" customWidth="1"/>
    <col min="4867" max="4868" width="11.77734375" style="4" customWidth="1"/>
    <col min="4869" max="5117" width="9.21875" style="4"/>
    <col min="5118" max="5118" width="6.44140625" style="4" customWidth="1"/>
    <col min="5119" max="5119" width="47.77734375" style="4" customWidth="1"/>
    <col min="5120" max="5120" width="12.77734375" style="4" customWidth="1"/>
    <col min="5121" max="5121" width="14.44140625" style="4" customWidth="1"/>
    <col min="5122" max="5122" width="12.21875" style="4" customWidth="1"/>
    <col min="5123" max="5124" width="11.77734375" style="4" customWidth="1"/>
    <col min="5125" max="5373" width="9.21875" style="4"/>
    <col min="5374" max="5374" width="6.44140625" style="4" customWidth="1"/>
    <col min="5375" max="5375" width="47.77734375" style="4" customWidth="1"/>
    <col min="5376" max="5376" width="12.77734375" style="4" customWidth="1"/>
    <col min="5377" max="5377" width="14.44140625" style="4" customWidth="1"/>
    <col min="5378" max="5378" width="12.21875" style="4" customWidth="1"/>
    <col min="5379" max="5380" width="11.77734375" style="4" customWidth="1"/>
    <col min="5381" max="5629" width="9.21875" style="4"/>
    <col min="5630" max="5630" width="6.44140625" style="4" customWidth="1"/>
    <col min="5631" max="5631" width="47.77734375" style="4" customWidth="1"/>
    <col min="5632" max="5632" width="12.77734375" style="4" customWidth="1"/>
    <col min="5633" max="5633" width="14.44140625" style="4" customWidth="1"/>
    <col min="5634" max="5634" width="12.21875" style="4" customWidth="1"/>
    <col min="5635" max="5636" width="11.77734375" style="4" customWidth="1"/>
    <col min="5637" max="5885" width="9.21875" style="4"/>
    <col min="5886" max="5886" width="6.44140625" style="4" customWidth="1"/>
    <col min="5887" max="5887" width="47.77734375" style="4" customWidth="1"/>
    <col min="5888" max="5888" width="12.77734375" style="4" customWidth="1"/>
    <col min="5889" max="5889" width="14.44140625" style="4" customWidth="1"/>
    <col min="5890" max="5890" width="12.21875" style="4" customWidth="1"/>
    <col min="5891" max="5892" width="11.77734375" style="4" customWidth="1"/>
    <col min="5893" max="6141" width="9.21875" style="4"/>
    <col min="6142" max="6142" width="6.44140625" style="4" customWidth="1"/>
    <col min="6143" max="6143" width="47.77734375" style="4" customWidth="1"/>
    <col min="6144" max="6144" width="12.77734375" style="4" customWidth="1"/>
    <col min="6145" max="6145" width="14.44140625" style="4" customWidth="1"/>
    <col min="6146" max="6146" width="12.21875" style="4" customWidth="1"/>
    <col min="6147" max="6148" width="11.77734375" style="4" customWidth="1"/>
    <col min="6149" max="6397" width="9.21875" style="4"/>
    <col min="6398" max="6398" width="6.44140625" style="4" customWidth="1"/>
    <col min="6399" max="6399" width="47.77734375" style="4" customWidth="1"/>
    <col min="6400" max="6400" width="12.77734375" style="4" customWidth="1"/>
    <col min="6401" max="6401" width="14.44140625" style="4" customWidth="1"/>
    <col min="6402" max="6402" width="12.21875" style="4" customWidth="1"/>
    <col min="6403" max="6404" width="11.77734375" style="4" customWidth="1"/>
    <col min="6405" max="6653" width="9.21875" style="4"/>
    <col min="6654" max="6654" width="6.44140625" style="4" customWidth="1"/>
    <col min="6655" max="6655" width="47.77734375" style="4" customWidth="1"/>
    <col min="6656" max="6656" width="12.77734375" style="4" customWidth="1"/>
    <col min="6657" max="6657" width="14.44140625" style="4" customWidth="1"/>
    <col min="6658" max="6658" width="12.21875" style="4" customWidth="1"/>
    <col min="6659" max="6660" width="11.77734375" style="4" customWidth="1"/>
    <col min="6661" max="6909" width="9.21875" style="4"/>
    <col min="6910" max="6910" width="6.44140625" style="4" customWidth="1"/>
    <col min="6911" max="6911" width="47.77734375" style="4" customWidth="1"/>
    <col min="6912" max="6912" width="12.77734375" style="4" customWidth="1"/>
    <col min="6913" max="6913" width="14.44140625" style="4" customWidth="1"/>
    <col min="6914" max="6914" width="12.21875" style="4" customWidth="1"/>
    <col min="6915" max="6916" width="11.77734375" style="4" customWidth="1"/>
    <col min="6917" max="7165" width="9.21875" style="4"/>
    <col min="7166" max="7166" width="6.44140625" style="4" customWidth="1"/>
    <col min="7167" max="7167" width="47.77734375" style="4" customWidth="1"/>
    <col min="7168" max="7168" width="12.77734375" style="4" customWidth="1"/>
    <col min="7169" max="7169" width="14.44140625" style="4" customWidth="1"/>
    <col min="7170" max="7170" width="12.21875" style="4" customWidth="1"/>
    <col min="7171" max="7172" width="11.77734375" style="4" customWidth="1"/>
    <col min="7173" max="7421" width="9.21875" style="4"/>
    <col min="7422" max="7422" width="6.44140625" style="4" customWidth="1"/>
    <col min="7423" max="7423" width="47.77734375" style="4" customWidth="1"/>
    <col min="7424" max="7424" width="12.77734375" style="4" customWidth="1"/>
    <col min="7425" max="7425" width="14.44140625" style="4" customWidth="1"/>
    <col min="7426" max="7426" width="12.21875" style="4" customWidth="1"/>
    <col min="7427" max="7428" width="11.77734375" style="4" customWidth="1"/>
    <col min="7429" max="7677" width="9.21875" style="4"/>
    <col min="7678" max="7678" width="6.44140625" style="4" customWidth="1"/>
    <col min="7679" max="7679" width="47.77734375" style="4" customWidth="1"/>
    <col min="7680" max="7680" width="12.77734375" style="4" customWidth="1"/>
    <col min="7681" max="7681" width="14.44140625" style="4" customWidth="1"/>
    <col min="7682" max="7682" width="12.21875" style="4" customWidth="1"/>
    <col min="7683" max="7684" width="11.77734375" style="4" customWidth="1"/>
    <col min="7685" max="7933" width="9.21875" style="4"/>
    <col min="7934" max="7934" width="6.44140625" style="4" customWidth="1"/>
    <col min="7935" max="7935" width="47.77734375" style="4" customWidth="1"/>
    <col min="7936" max="7936" width="12.77734375" style="4" customWidth="1"/>
    <col min="7937" max="7937" width="14.44140625" style="4" customWidth="1"/>
    <col min="7938" max="7938" width="12.21875" style="4" customWidth="1"/>
    <col min="7939" max="7940" width="11.77734375" style="4" customWidth="1"/>
    <col min="7941" max="8189" width="9.21875" style="4"/>
    <col min="8190" max="8190" width="6.44140625" style="4" customWidth="1"/>
    <col min="8191" max="8191" width="47.77734375" style="4" customWidth="1"/>
    <col min="8192" max="8192" width="12.77734375" style="4" customWidth="1"/>
    <col min="8193" max="8193" width="14.44140625" style="4" customWidth="1"/>
    <col min="8194" max="8194" width="12.21875" style="4" customWidth="1"/>
    <col min="8195" max="8196" width="11.77734375" style="4" customWidth="1"/>
    <col min="8197" max="8445" width="9.21875" style="4"/>
    <col min="8446" max="8446" width="6.44140625" style="4" customWidth="1"/>
    <col min="8447" max="8447" width="47.77734375" style="4" customWidth="1"/>
    <col min="8448" max="8448" width="12.77734375" style="4" customWidth="1"/>
    <col min="8449" max="8449" width="14.44140625" style="4" customWidth="1"/>
    <col min="8450" max="8450" width="12.21875" style="4" customWidth="1"/>
    <col min="8451" max="8452" width="11.77734375" style="4" customWidth="1"/>
    <col min="8453" max="8701" width="9.21875" style="4"/>
    <col min="8702" max="8702" width="6.44140625" style="4" customWidth="1"/>
    <col min="8703" max="8703" width="47.77734375" style="4" customWidth="1"/>
    <col min="8704" max="8704" width="12.77734375" style="4" customWidth="1"/>
    <col min="8705" max="8705" width="14.44140625" style="4" customWidth="1"/>
    <col min="8706" max="8706" width="12.21875" style="4" customWidth="1"/>
    <col min="8707" max="8708" width="11.77734375" style="4" customWidth="1"/>
    <col min="8709" max="8957" width="9.21875" style="4"/>
    <col min="8958" max="8958" width="6.44140625" style="4" customWidth="1"/>
    <col min="8959" max="8959" width="47.77734375" style="4" customWidth="1"/>
    <col min="8960" max="8960" width="12.77734375" style="4" customWidth="1"/>
    <col min="8961" max="8961" width="14.44140625" style="4" customWidth="1"/>
    <col min="8962" max="8962" width="12.21875" style="4" customWidth="1"/>
    <col min="8963" max="8964" width="11.77734375" style="4" customWidth="1"/>
    <col min="8965" max="9213" width="9.21875" style="4"/>
    <col min="9214" max="9214" width="6.44140625" style="4" customWidth="1"/>
    <col min="9215" max="9215" width="47.77734375" style="4" customWidth="1"/>
    <col min="9216" max="9216" width="12.77734375" style="4" customWidth="1"/>
    <col min="9217" max="9217" width="14.44140625" style="4" customWidth="1"/>
    <col min="9218" max="9218" width="12.21875" style="4" customWidth="1"/>
    <col min="9219" max="9220" width="11.77734375" style="4" customWidth="1"/>
    <col min="9221" max="9469" width="9.21875" style="4"/>
    <col min="9470" max="9470" width="6.44140625" style="4" customWidth="1"/>
    <col min="9471" max="9471" width="47.77734375" style="4" customWidth="1"/>
    <col min="9472" max="9472" width="12.77734375" style="4" customWidth="1"/>
    <col min="9473" max="9473" width="14.44140625" style="4" customWidth="1"/>
    <col min="9474" max="9474" width="12.21875" style="4" customWidth="1"/>
    <col min="9475" max="9476" width="11.77734375" style="4" customWidth="1"/>
    <col min="9477" max="9725" width="9.21875" style="4"/>
    <col min="9726" max="9726" width="6.44140625" style="4" customWidth="1"/>
    <col min="9727" max="9727" width="47.77734375" style="4" customWidth="1"/>
    <col min="9728" max="9728" width="12.77734375" style="4" customWidth="1"/>
    <col min="9729" max="9729" width="14.44140625" style="4" customWidth="1"/>
    <col min="9730" max="9730" width="12.21875" style="4" customWidth="1"/>
    <col min="9731" max="9732" width="11.77734375" style="4" customWidth="1"/>
    <col min="9733" max="9981" width="9.21875" style="4"/>
    <col min="9982" max="9982" width="6.44140625" style="4" customWidth="1"/>
    <col min="9983" max="9983" width="47.77734375" style="4" customWidth="1"/>
    <col min="9984" max="9984" width="12.77734375" style="4" customWidth="1"/>
    <col min="9985" max="9985" width="14.44140625" style="4" customWidth="1"/>
    <col min="9986" max="9986" width="12.21875" style="4" customWidth="1"/>
    <col min="9987" max="9988" width="11.77734375" style="4" customWidth="1"/>
    <col min="9989" max="10237" width="9.21875" style="4"/>
    <col min="10238" max="10238" width="6.44140625" style="4" customWidth="1"/>
    <col min="10239" max="10239" width="47.77734375" style="4" customWidth="1"/>
    <col min="10240" max="10240" width="12.77734375" style="4" customWidth="1"/>
    <col min="10241" max="10241" width="14.44140625" style="4" customWidth="1"/>
    <col min="10242" max="10242" width="12.21875" style="4" customWidth="1"/>
    <col min="10243" max="10244" width="11.77734375" style="4" customWidth="1"/>
    <col min="10245" max="10493" width="9.21875" style="4"/>
    <col min="10494" max="10494" width="6.44140625" style="4" customWidth="1"/>
    <col min="10495" max="10495" width="47.77734375" style="4" customWidth="1"/>
    <col min="10496" max="10496" width="12.77734375" style="4" customWidth="1"/>
    <col min="10497" max="10497" width="14.44140625" style="4" customWidth="1"/>
    <col min="10498" max="10498" width="12.21875" style="4" customWidth="1"/>
    <col min="10499" max="10500" width="11.77734375" style="4" customWidth="1"/>
    <col min="10501" max="10749" width="9.21875" style="4"/>
    <col min="10750" max="10750" width="6.44140625" style="4" customWidth="1"/>
    <col min="10751" max="10751" width="47.77734375" style="4" customWidth="1"/>
    <col min="10752" max="10752" width="12.77734375" style="4" customWidth="1"/>
    <col min="10753" max="10753" width="14.44140625" style="4" customWidth="1"/>
    <col min="10754" max="10754" width="12.21875" style="4" customWidth="1"/>
    <col min="10755" max="10756" width="11.77734375" style="4" customWidth="1"/>
    <col min="10757" max="11005" width="9.21875" style="4"/>
    <col min="11006" max="11006" width="6.44140625" style="4" customWidth="1"/>
    <col min="11007" max="11007" width="47.77734375" style="4" customWidth="1"/>
    <col min="11008" max="11008" width="12.77734375" style="4" customWidth="1"/>
    <col min="11009" max="11009" width="14.44140625" style="4" customWidth="1"/>
    <col min="11010" max="11010" width="12.21875" style="4" customWidth="1"/>
    <col min="11011" max="11012" width="11.77734375" style="4" customWidth="1"/>
    <col min="11013" max="11261" width="9.21875" style="4"/>
    <col min="11262" max="11262" width="6.44140625" style="4" customWidth="1"/>
    <col min="11263" max="11263" width="47.77734375" style="4" customWidth="1"/>
    <col min="11264" max="11264" width="12.77734375" style="4" customWidth="1"/>
    <col min="11265" max="11265" width="14.44140625" style="4" customWidth="1"/>
    <col min="11266" max="11266" width="12.21875" style="4" customWidth="1"/>
    <col min="11267" max="11268" width="11.77734375" style="4" customWidth="1"/>
    <col min="11269" max="11517" width="9.21875" style="4"/>
    <col min="11518" max="11518" width="6.44140625" style="4" customWidth="1"/>
    <col min="11519" max="11519" width="47.77734375" style="4" customWidth="1"/>
    <col min="11520" max="11520" width="12.77734375" style="4" customWidth="1"/>
    <col min="11521" max="11521" width="14.44140625" style="4" customWidth="1"/>
    <col min="11522" max="11522" width="12.21875" style="4" customWidth="1"/>
    <col min="11523" max="11524" width="11.77734375" style="4" customWidth="1"/>
    <col min="11525" max="11773" width="9.21875" style="4"/>
    <col min="11774" max="11774" width="6.44140625" style="4" customWidth="1"/>
    <col min="11775" max="11775" width="47.77734375" style="4" customWidth="1"/>
    <col min="11776" max="11776" width="12.77734375" style="4" customWidth="1"/>
    <col min="11777" max="11777" width="14.44140625" style="4" customWidth="1"/>
    <col min="11778" max="11778" width="12.21875" style="4" customWidth="1"/>
    <col min="11779" max="11780" width="11.77734375" style="4" customWidth="1"/>
    <col min="11781" max="12029" width="9.21875" style="4"/>
    <col min="12030" max="12030" width="6.44140625" style="4" customWidth="1"/>
    <col min="12031" max="12031" width="47.77734375" style="4" customWidth="1"/>
    <col min="12032" max="12032" width="12.77734375" style="4" customWidth="1"/>
    <col min="12033" max="12033" width="14.44140625" style="4" customWidth="1"/>
    <col min="12034" max="12034" width="12.21875" style="4" customWidth="1"/>
    <col min="12035" max="12036" width="11.77734375" style="4" customWidth="1"/>
    <col min="12037" max="12285" width="9.21875" style="4"/>
    <col min="12286" max="12286" width="6.44140625" style="4" customWidth="1"/>
    <col min="12287" max="12287" width="47.77734375" style="4" customWidth="1"/>
    <col min="12288" max="12288" width="12.77734375" style="4" customWidth="1"/>
    <col min="12289" max="12289" width="14.44140625" style="4" customWidth="1"/>
    <col min="12290" max="12290" width="12.21875" style="4" customWidth="1"/>
    <col min="12291" max="12292" width="11.77734375" style="4" customWidth="1"/>
    <col min="12293" max="12541" width="9.21875" style="4"/>
    <col min="12542" max="12542" width="6.44140625" style="4" customWidth="1"/>
    <col min="12543" max="12543" width="47.77734375" style="4" customWidth="1"/>
    <col min="12544" max="12544" width="12.77734375" style="4" customWidth="1"/>
    <col min="12545" max="12545" width="14.44140625" style="4" customWidth="1"/>
    <col min="12546" max="12546" width="12.21875" style="4" customWidth="1"/>
    <col min="12547" max="12548" width="11.77734375" style="4" customWidth="1"/>
    <col min="12549" max="12797" width="9.21875" style="4"/>
    <col min="12798" max="12798" width="6.44140625" style="4" customWidth="1"/>
    <col min="12799" max="12799" width="47.77734375" style="4" customWidth="1"/>
    <col min="12800" max="12800" width="12.77734375" style="4" customWidth="1"/>
    <col min="12801" max="12801" width="14.44140625" style="4" customWidth="1"/>
    <col min="12802" max="12802" width="12.21875" style="4" customWidth="1"/>
    <col min="12803" max="12804" width="11.77734375" style="4" customWidth="1"/>
    <col min="12805" max="13053" width="9.21875" style="4"/>
    <col min="13054" max="13054" width="6.44140625" style="4" customWidth="1"/>
    <col min="13055" max="13055" width="47.77734375" style="4" customWidth="1"/>
    <col min="13056" max="13056" width="12.77734375" style="4" customWidth="1"/>
    <col min="13057" max="13057" width="14.44140625" style="4" customWidth="1"/>
    <col min="13058" max="13058" width="12.21875" style="4" customWidth="1"/>
    <col min="13059" max="13060" width="11.77734375" style="4" customWidth="1"/>
    <col min="13061" max="13309" width="9.21875" style="4"/>
    <col min="13310" max="13310" width="6.44140625" style="4" customWidth="1"/>
    <col min="13311" max="13311" width="47.77734375" style="4" customWidth="1"/>
    <col min="13312" max="13312" width="12.77734375" style="4" customWidth="1"/>
    <col min="13313" max="13313" width="14.44140625" style="4" customWidth="1"/>
    <col min="13314" max="13314" width="12.21875" style="4" customWidth="1"/>
    <col min="13315" max="13316" width="11.77734375" style="4" customWidth="1"/>
    <col min="13317" max="13565" width="9.21875" style="4"/>
    <col min="13566" max="13566" width="6.44140625" style="4" customWidth="1"/>
    <col min="13567" max="13567" width="47.77734375" style="4" customWidth="1"/>
    <col min="13568" max="13568" width="12.77734375" style="4" customWidth="1"/>
    <col min="13569" max="13569" width="14.44140625" style="4" customWidth="1"/>
    <col min="13570" max="13570" width="12.21875" style="4" customWidth="1"/>
    <col min="13571" max="13572" width="11.77734375" style="4" customWidth="1"/>
    <col min="13573" max="13821" width="9.21875" style="4"/>
    <col min="13822" max="13822" width="6.44140625" style="4" customWidth="1"/>
    <col min="13823" max="13823" width="47.77734375" style="4" customWidth="1"/>
    <col min="13824" max="13824" width="12.77734375" style="4" customWidth="1"/>
    <col min="13825" max="13825" width="14.44140625" style="4" customWidth="1"/>
    <col min="13826" max="13826" width="12.21875" style="4" customWidth="1"/>
    <col min="13827" max="13828" width="11.77734375" style="4" customWidth="1"/>
    <col min="13829" max="14077" width="9.21875" style="4"/>
    <col min="14078" max="14078" width="6.44140625" style="4" customWidth="1"/>
    <col min="14079" max="14079" width="47.77734375" style="4" customWidth="1"/>
    <col min="14080" max="14080" width="12.77734375" style="4" customWidth="1"/>
    <col min="14081" max="14081" width="14.44140625" style="4" customWidth="1"/>
    <col min="14082" max="14082" width="12.21875" style="4" customWidth="1"/>
    <col min="14083" max="14084" width="11.77734375" style="4" customWidth="1"/>
    <col min="14085" max="14333" width="9.21875" style="4"/>
    <col min="14334" max="14334" width="6.44140625" style="4" customWidth="1"/>
    <col min="14335" max="14335" width="47.77734375" style="4" customWidth="1"/>
    <col min="14336" max="14336" width="12.77734375" style="4" customWidth="1"/>
    <col min="14337" max="14337" width="14.44140625" style="4" customWidth="1"/>
    <col min="14338" max="14338" width="12.21875" style="4" customWidth="1"/>
    <col min="14339" max="14340" width="11.77734375" style="4" customWidth="1"/>
    <col min="14341" max="14589" width="9.21875" style="4"/>
    <col min="14590" max="14590" width="6.44140625" style="4" customWidth="1"/>
    <col min="14591" max="14591" width="47.77734375" style="4" customWidth="1"/>
    <col min="14592" max="14592" width="12.77734375" style="4" customWidth="1"/>
    <col min="14593" max="14593" width="14.44140625" style="4" customWidth="1"/>
    <col min="14594" max="14594" width="12.21875" style="4" customWidth="1"/>
    <col min="14595" max="14596" width="11.77734375" style="4" customWidth="1"/>
    <col min="14597" max="14845" width="9.21875" style="4"/>
    <col min="14846" max="14846" width="6.44140625" style="4" customWidth="1"/>
    <col min="14847" max="14847" width="47.77734375" style="4" customWidth="1"/>
    <col min="14848" max="14848" width="12.77734375" style="4" customWidth="1"/>
    <col min="14849" max="14849" width="14.44140625" style="4" customWidth="1"/>
    <col min="14850" max="14850" width="12.21875" style="4" customWidth="1"/>
    <col min="14851" max="14852" width="11.77734375" style="4" customWidth="1"/>
    <col min="14853" max="15101" width="9.21875" style="4"/>
    <col min="15102" max="15102" width="6.44140625" style="4" customWidth="1"/>
    <col min="15103" max="15103" width="47.77734375" style="4" customWidth="1"/>
    <col min="15104" max="15104" width="12.77734375" style="4" customWidth="1"/>
    <col min="15105" max="15105" width="14.44140625" style="4" customWidth="1"/>
    <col min="15106" max="15106" width="12.21875" style="4" customWidth="1"/>
    <col min="15107" max="15108" width="11.77734375" style="4" customWidth="1"/>
    <col min="15109" max="15357" width="9.21875" style="4"/>
    <col min="15358" max="15358" width="6.44140625" style="4" customWidth="1"/>
    <col min="15359" max="15359" width="47.77734375" style="4" customWidth="1"/>
    <col min="15360" max="15360" width="12.77734375" style="4" customWidth="1"/>
    <col min="15361" max="15361" width="14.44140625" style="4" customWidth="1"/>
    <col min="15362" max="15362" width="12.21875" style="4" customWidth="1"/>
    <col min="15363" max="15364" width="11.77734375" style="4" customWidth="1"/>
    <col min="15365" max="15613" width="9.21875" style="4"/>
    <col min="15614" max="15614" width="6.44140625" style="4" customWidth="1"/>
    <col min="15615" max="15615" width="47.77734375" style="4" customWidth="1"/>
    <col min="15616" max="15616" width="12.77734375" style="4" customWidth="1"/>
    <col min="15617" max="15617" width="14.44140625" style="4" customWidth="1"/>
    <col min="15618" max="15618" width="12.21875" style="4" customWidth="1"/>
    <col min="15619" max="15620" width="11.77734375" style="4" customWidth="1"/>
    <col min="15621" max="15869" width="9.21875" style="4"/>
    <col min="15870" max="15870" width="6.44140625" style="4" customWidth="1"/>
    <col min="15871" max="15871" width="47.77734375" style="4" customWidth="1"/>
    <col min="15872" max="15872" width="12.77734375" style="4" customWidth="1"/>
    <col min="15873" max="15873" width="14.44140625" style="4" customWidth="1"/>
    <col min="15874" max="15874" width="12.21875" style="4" customWidth="1"/>
    <col min="15875" max="15876" width="11.77734375" style="4" customWidth="1"/>
    <col min="15877" max="16125" width="9.21875" style="4"/>
    <col min="16126" max="16126" width="6.44140625" style="4" customWidth="1"/>
    <col min="16127" max="16127" width="47.77734375" style="4" customWidth="1"/>
    <col min="16128" max="16128" width="12.77734375" style="4" customWidth="1"/>
    <col min="16129" max="16129" width="14.44140625" style="4" customWidth="1"/>
    <col min="16130" max="16130" width="12.21875" style="4" customWidth="1"/>
    <col min="16131" max="16132" width="11.77734375" style="4" customWidth="1"/>
    <col min="16133" max="16384" width="9.21875" style="4"/>
  </cols>
  <sheetData>
    <row r="1" spans="1:6" ht="27" customHeight="1" x14ac:dyDescent="0.25">
      <c r="A1" s="340" t="s">
        <v>602</v>
      </c>
      <c r="B1" s="340"/>
      <c r="C1" s="340"/>
      <c r="D1" s="207"/>
      <c r="E1" s="207"/>
    </row>
    <row r="2" spans="1:6" ht="26.55" customHeight="1" x14ac:dyDescent="0.25">
      <c r="A2" s="341" t="s">
        <v>86</v>
      </c>
      <c r="B2" s="341" t="s">
        <v>91</v>
      </c>
      <c r="C2" s="83" t="s">
        <v>301</v>
      </c>
      <c r="D2" s="344" t="s">
        <v>288</v>
      </c>
      <c r="E2" s="344"/>
      <c r="F2" s="344"/>
    </row>
    <row r="3" spans="1:6" ht="40.049999999999997" customHeight="1" x14ac:dyDescent="0.25">
      <c r="A3" s="342"/>
      <c r="B3" s="342"/>
      <c r="C3" s="33" t="s">
        <v>525</v>
      </c>
      <c r="D3" s="33" t="s">
        <v>604</v>
      </c>
      <c r="E3" s="208" t="s">
        <v>603</v>
      </c>
      <c r="F3" s="33" t="s">
        <v>527</v>
      </c>
    </row>
    <row r="4" spans="1:6" x14ac:dyDescent="0.25">
      <c r="A4" s="118">
        <v>1</v>
      </c>
      <c r="B4" s="118">
        <v>2</v>
      </c>
      <c r="C4" s="74"/>
      <c r="D4" s="93"/>
      <c r="E4" s="74"/>
      <c r="F4" s="74"/>
    </row>
    <row r="5" spans="1:6" x14ac:dyDescent="0.25">
      <c r="A5" s="30" t="s">
        <v>1</v>
      </c>
      <c r="B5" s="86" t="s">
        <v>157</v>
      </c>
      <c r="C5" s="79">
        <v>3284.31</v>
      </c>
      <c r="D5" s="79">
        <v>1664.27</v>
      </c>
      <c r="E5" s="80">
        <f>257.54+10</f>
        <v>267.54000000000002</v>
      </c>
      <c r="F5" s="79">
        <f>D5-E5</f>
        <v>1396.73</v>
      </c>
    </row>
    <row r="6" spans="1:6" x14ac:dyDescent="0.25">
      <c r="A6" s="30" t="s">
        <v>2</v>
      </c>
      <c r="B6" s="86" t="s">
        <v>289</v>
      </c>
      <c r="C6" s="79">
        <v>3907.19</v>
      </c>
      <c r="D6" s="79">
        <v>3768.19</v>
      </c>
      <c r="E6" s="79">
        <f>495.54+2</f>
        <v>497.54</v>
      </c>
      <c r="F6" s="79">
        <f>D6-E6</f>
        <v>3270.65</v>
      </c>
    </row>
    <row r="7" spans="1:6" x14ac:dyDescent="0.25">
      <c r="A7" s="30"/>
      <c r="B7" s="86" t="s">
        <v>158</v>
      </c>
      <c r="C7" s="79"/>
      <c r="D7" s="80"/>
      <c r="E7" s="74"/>
      <c r="F7" s="74"/>
    </row>
    <row r="8" spans="1:6" ht="26.4" x14ac:dyDescent="0.25">
      <c r="A8" s="30" t="s">
        <v>3</v>
      </c>
      <c r="B8" s="86" t="s">
        <v>445</v>
      </c>
      <c r="C8" s="79">
        <v>495.07</v>
      </c>
      <c r="D8" s="80">
        <v>123.43</v>
      </c>
      <c r="E8" s="74"/>
      <c r="F8" s="80">
        <v>123.43</v>
      </c>
    </row>
    <row r="9" spans="1:6" x14ac:dyDescent="0.25">
      <c r="A9" s="30"/>
      <c r="B9" s="86" t="s">
        <v>446</v>
      </c>
      <c r="C9" s="75"/>
      <c r="D9" s="74"/>
      <c r="E9" s="74"/>
      <c r="F9" s="74"/>
    </row>
    <row r="10" spans="1:6" x14ac:dyDescent="0.25">
      <c r="A10" s="30" t="s">
        <v>89</v>
      </c>
      <c r="B10" s="86" t="s">
        <v>159</v>
      </c>
      <c r="C10" s="76"/>
      <c r="D10" s="76"/>
      <c r="E10" s="74"/>
      <c r="F10" s="74"/>
    </row>
    <row r="11" spans="1:6" x14ac:dyDescent="0.25">
      <c r="A11" s="30" t="s">
        <v>93</v>
      </c>
      <c r="B11" s="86" t="s">
        <v>160</v>
      </c>
      <c r="C11" s="79">
        <f>C12+C13</f>
        <v>254.20000000000002</v>
      </c>
      <c r="D11" s="79">
        <f t="shared" ref="D11:F11" si="0">D12+D13</f>
        <v>253.95</v>
      </c>
      <c r="E11" s="79">
        <f t="shared" si="0"/>
        <v>11.71</v>
      </c>
      <c r="F11" s="79">
        <f t="shared" si="0"/>
        <v>242.24</v>
      </c>
    </row>
    <row r="12" spans="1:6" x14ac:dyDescent="0.25">
      <c r="A12" s="30" t="s">
        <v>161</v>
      </c>
      <c r="B12" s="86" t="s">
        <v>162</v>
      </c>
      <c r="C12" s="75">
        <v>50.09</v>
      </c>
      <c r="D12" s="75">
        <v>46.86</v>
      </c>
      <c r="E12" s="74">
        <v>2.16</v>
      </c>
      <c r="F12" s="74">
        <v>44.7</v>
      </c>
    </row>
    <row r="13" spans="1:6" x14ac:dyDescent="0.25">
      <c r="A13" s="30" t="s">
        <v>163</v>
      </c>
      <c r="B13" s="86" t="s">
        <v>164</v>
      </c>
      <c r="C13" s="75">
        <v>204.11</v>
      </c>
      <c r="D13" s="75">
        <v>207.09</v>
      </c>
      <c r="E13" s="74">
        <v>9.5500000000000007</v>
      </c>
      <c r="F13" s="74">
        <v>197.54</v>
      </c>
    </row>
    <row r="14" spans="1:6" x14ac:dyDescent="0.25">
      <c r="A14" s="30" t="s">
        <v>95</v>
      </c>
      <c r="B14" s="86" t="s">
        <v>165</v>
      </c>
      <c r="C14" s="75">
        <v>43324.76</v>
      </c>
      <c r="D14" s="79">
        <v>42098.52</v>
      </c>
      <c r="E14" s="80">
        <f>1044+74</f>
        <v>1118</v>
      </c>
      <c r="F14" s="79">
        <f>D14-E14</f>
        <v>40980.519999999997</v>
      </c>
    </row>
    <row r="15" spans="1:6" x14ac:dyDescent="0.25">
      <c r="A15" s="30"/>
      <c r="B15" s="86" t="s">
        <v>456</v>
      </c>
      <c r="C15" s="75"/>
      <c r="D15" s="75">
        <v>168.32</v>
      </c>
      <c r="E15" s="74"/>
      <c r="F15" s="74">
        <v>168.32</v>
      </c>
    </row>
    <row r="16" spans="1:6" x14ac:dyDescent="0.25">
      <c r="A16" s="30"/>
      <c r="B16" s="86" t="s">
        <v>158</v>
      </c>
      <c r="C16" s="75"/>
      <c r="D16" s="74"/>
      <c r="E16" s="74"/>
      <c r="F16" s="74"/>
    </row>
    <row r="17" spans="1:6" x14ac:dyDescent="0.25">
      <c r="A17" s="30" t="s">
        <v>605</v>
      </c>
      <c r="B17" s="87" t="s">
        <v>166</v>
      </c>
      <c r="C17" s="75">
        <v>13170.73</v>
      </c>
      <c r="D17" s="79">
        <v>12260.51</v>
      </c>
      <c r="E17" s="80">
        <f>22+313</f>
        <v>335</v>
      </c>
      <c r="F17" s="79">
        <f>D17-E17</f>
        <v>11925.51</v>
      </c>
    </row>
    <row r="18" spans="1:6" x14ac:dyDescent="0.25">
      <c r="A18" s="30"/>
      <c r="B18" s="86" t="s">
        <v>158</v>
      </c>
      <c r="C18" s="75"/>
      <c r="D18" s="74"/>
      <c r="E18" s="74"/>
      <c r="F18" s="74"/>
    </row>
    <row r="19" spans="1:6" x14ac:dyDescent="0.25">
      <c r="A19" s="30" t="s">
        <v>96</v>
      </c>
      <c r="B19" s="88" t="s">
        <v>167</v>
      </c>
      <c r="C19" s="75">
        <v>5891.47</v>
      </c>
      <c r="D19" s="79">
        <v>5884.69</v>
      </c>
      <c r="E19" s="74"/>
      <c r="F19" s="79">
        <v>5884.69</v>
      </c>
    </row>
    <row r="20" spans="1:6" x14ac:dyDescent="0.25">
      <c r="A20" s="30" t="s">
        <v>97</v>
      </c>
      <c r="B20" s="86" t="s">
        <v>168</v>
      </c>
      <c r="C20" s="79">
        <f>C22+C23+C24+C27+C31</f>
        <v>15830.99</v>
      </c>
      <c r="D20" s="79">
        <f>D22+D23+D24+D27+D31</f>
        <v>16764.23</v>
      </c>
      <c r="E20" s="79">
        <f>E22+E23+E24+E27+E31</f>
        <v>43.74</v>
      </c>
      <c r="F20" s="79">
        <f>F22+F23+F24+F27+F31</f>
        <v>16720.490000000002</v>
      </c>
    </row>
    <row r="21" spans="1:6" ht="39.6" x14ac:dyDescent="0.25">
      <c r="A21" s="89" t="s">
        <v>169</v>
      </c>
      <c r="B21" s="90" t="s">
        <v>428</v>
      </c>
      <c r="C21" s="76"/>
      <c r="D21" s="76"/>
      <c r="E21" s="74"/>
      <c r="F21" s="76"/>
    </row>
    <row r="22" spans="1:6" x14ac:dyDescent="0.25">
      <c r="A22" s="30" t="s">
        <v>170</v>
      </c>
      <c r="B22" s="86" t="s">
        <v>325</v>
      </c>
      <c r="C22" s="75">
        <v>52.41</v>
      </c>
      <c r="D22" s="75">
        <f>1.5+57.87</f>
        <v>59.37</v>
      </c>
      <c r="E22" s="74"/>
      <c r="F22" s="75">
        <f>1.5+57.87</f>
        <v>59.37</v>
      </c>
    </row>
    <row r="23" spans="1:6" ht="26.4" x14ac:dyDescent="0.25">
      <c r="A23" s="30" t="s">
        <v>171</v>
      </c>
      <c r="B23" s="86" t="s">
        <v>172</v>
      </c>
      <c r="C23" s="75">
        <v>18.63</v>
      </c>
      <c r="D23" s="74">
        <v>9.3000000000000007</v>
      </c>
      <c r="E23" s="74"/>
      <c r="F23" s="74">
        <v>9.3000000000000007</v>
      </c>
    </row>
    <row r="24" spans="1:6" ht="132" x14ac:dyDescent="0.25">
      <c r="A24" s="89" t="s">
        <v>291</v>
      </c>
      <c r="B24" s="86" t="s">
        <v>292</v>
      </c>
      <c r="C24" s="75">
        <v>8878.5499999999993</v>
      </c>
      <c r="D24" s="75">
        <v>9943.2800000000007</v>
      </c>
      <c r="E24" s="74"/>
      <c r="F24" s="75">
        <v>9943.2800000000007</v>
      </c>
    </row>
    <row r="25" spans="1:6" ht="26.4" x14ac:dyDescent="0.25">
      <c r="A25" s="30" t="s">
        <v>293</v>
      </c>
      <c r="B25" s="86" t="s">
        <v>294</v>
      </c>
      <c r="C25" s="75"/>
      <c r="D25" s="77"/>
      <c r="E25" s="74"/>
      <c r="F25" s="77"/>
    </row>
    <row r="26" spans="1:6" x14ac:dyDescent="0.25">
      <c r="A26" s="30" t="s">
        <v>295</v>
      </c>
      <c r="B26" s="86" t="s">
        <v>296</v>
      </c>
      <c r="C26" s="75"/>
      <c r="D26" s="75"/>
      <c r="E26" s="74"/>
      <c r="F26" s="75"/>
    </row>
    <row r="27" spans="1:6" ht="26.4" x14ac:dyDescent="0.25">
      <c r="A27" s="30" t="s">
        <v>173</v>
      </c>
      <c r="B27" s="86" t="s">
        <v>174</v>
      </c>
      <c r="C27" s="79">
        <f>C29+C30</f>
        <v>2914.33</v>
      </c>
      <c r="D27" s="79">
        <f t="shared" ref="D27:F27" si="1">D29+D30</f>
        <v>2706.8799999999997</v>
      </c>
      <c r="E27" s="74"/>
      <c r="F27" s="79">
        <f t="shared" si="1"/>
        <v>2706.8799999999997</v>
      </c>
    </row>
    <row r="28" spans="1:6" x14ac:dyDescent="0.25">
      <c r="A28" s="30" t="s">
        <v>175</v>
      </c>
      <c r="B28" s="86" t="s">
        <v>176</v>
      </c>
      <c r="C28" s="75"/>
      <c r="D28" s="74"/>
      <c r="E28" s="74"/>
      <c r="F28" s="74"/>
    </row>
    <row r="29" spans="1:6" x14ac:dyDescent="0.25">
      <c r="A29" s="30" t="s">
        <v>177</v>
      </c>
      <c r="B29" s="86" t="s">
        <v>178</v>
      </c>
      <c r="C29" s="75">
        <v>46.93</v>
      </c>
      <c r="D29" s="79">
        <v>52.91</v>
      </c>
      <c r="E29" s="74"/>
      <c r="F29" s="79">
        <v>52.91</v>
      </c>
    </row>
    <row r="30" spans="1:6" x14ac:dyDescent="0.25">
      <c r="A30" s="30" t="s">
        <v>179</v>
      </c>
      <c r="B30" s="86" t="s">
        <v>180</v>
      </c>
      <c r="C30" s="75">
        <v>2867.4</v>
      </c>
      <c r="D30" s="79">
        <v>2653.97</v>
      </c>
      <c r="E30" s="74"/>
      <c r="F30" s="79">
        <v>2653.97</v>
      </c>
    </row>
    <row r="31" spans="1:6" ht="26.4" x14ac:dyDescent="0.25">
      <c r="A31" s="30" t="s">
        <v>181</v>
      </c>
      <c r="B31" s="86" t="s">
        <v>297</v>
      </c>
      <c r="C31" s="79">
        <v>3967.07</v>
      </c>
      <c r="D31" s="79">
        <v>4045.4</v>
      </c>
      <c r="E31" s="80">
        <v>43.74</v>
      </c>
      <c r="F31" s="79">
        <f>D31-E31</f>
        <v>4001.6600000000003</v>
      </c>
    </row>
    <row r="32" spans="1:6" x14ac:dyDescent="0.25">
      <c r="A32" s="30" t="s">
        <v>182</v>
      </c>
      <c r="B32" s="86" t="s">
        <v>298</v>
      </c>
      <c r="C32" s="75"/>
      <c r="D32" s="80"/>
      <c r="E32" s="74"/>
      <c r="F32" s="80"/>
    </row>
    <row r="33" spans="1:6" x14ac:dyDescent="0.25">
      <c r="A33" s="30" t="s">
        <v>299</v>
      </c>
      <c r="B33" s="86" t="s">
        <v>540</v>
      </c>
      <c r="C33" s="75">
        <v>1153.02</v>
      </c>
      <c r="D33" s="74">
        <v>1153.02</v>
      </c>
      <c r="E33" s="74"/>
      <c r="F33" s="74">
        <v>1153.02</v>
      </c>
    </row>
    <row r="34" spans="1:6" ht="27.6" x14ac:dyDescent="0.3">
      <c r="A34" s="32" t="s">
        <v>437</v>
      </c>
      <c r="B34" s="117" t="s">
        <v>383</v>
      </c>
      <c r="C34" s="75"/>
      <c r="D34" s="74"/>
      <c r="E34" s="74"/>
      <c r="F34" s="74"/>
    </row>
    <row r="35" spans="1:6" x14ac:dyDescent="0.25">
      <c r="A35" s="30" t="s">
        <v>98</v>
      </c>
      <c r="B35" s="91" t="s">
        <v>183</v>
      </c>
      <c r="C35" s="79">
        <f>C5+C6+C8+C11+C14+C17+C19+C20</f>
        <v>86158.720000000001</v>
      </c>
      <c r="D35" s="79">
        <f>D5+D6+D8+D11+D14+D17+D19+D20+D34</f>
        <v>82817.789999999994</v>
      </c>
      <c r="E35" s="79">
        <f>E5+E6+E8+E11+E14+E17+E19+E20+E34</f>
        <v>2273.5299999999997</v>
      </c>
      <c r="F35" s="79">
        <f>F5+F6+F8+F11+F14+F17+F19+F20+F34</f>
        <v>80544.260000000009</v>
      </c>
    </row>
    <row r="36" spans="1:6" ht="26.4" x14ac:dyDescent="0.25">
      <c r="A36" s="30" t="s">
        <v>99</v>
      </c>
      <c r="B36" s="86" t="s">
        <v>184</v>
      </c>
      <c r="C36" s="75">
        <v>10676.78</v>
      </c>
      <c r="D36" s="74"/>
      <c r="E36" s="74"/>
      <c r="F36" s="74"/>
    </row>
    <row r="37" spans="1:6" ht="26.4" x14ac:dyDescent="0.25">
      <c r="A37" s="30" t="s">
        <v>185</v>
      </c>
      <c r="B37" s="86" t="s">
        <v>186</v>
      </c>
      <c r="C37" s="74">
        <v>-22798.57</v>
      </c>
      <c r="D37" s="74"/>
      <c r="E37" s="74"/>
      <c r="F37" s="74"/>
    </row>
    <row r="38" spans="1:6" x14ac:dyDescent="0.25">
      <c r="A38" s="30"/>
      <c r="B38" s="86"/>
      <c r="C38" s="74"/>
      <c r="D38" s="74"/>
      <c r="E38" s="74"/>
      <c r="F38" s="74"/>
    </row>
    <row r="39" spans="1:6" ht="26.4" x14ac:dyDescent="0.25">
      <c r="A39" s="31" t="s">
        <v>187</v>
      </c>
      <c r="B39" s="86" t="s">
        <v>188</v>
      </c>
      <c r="C39" s="79">
        <f>C35+C37+C36</f>
        <v>74036.930000000008</v>
      </c>
      <c r="D39" s="79">
        <f>D35+D36</f>
        <v>82817.789999999994</v>
      </c>
      <c r="E39" s="79">
        <f>E35+E36</f>
        <v>2273.5299999999997</v>
      </c>
      <c r="F39" s="79">
        <f>F35+F36</f>
        <v>80544.260000000009</v>
      </c>
    </row>
    <row r="40" spans="1:6" x14ac:dyDescent="0.25">
      <c r="A40" s="30"/>
      <c r="B40" s="86" t="s">
        <v>189</v>
      </c>
      <c r="C40" s="74"/>
      <c r="D40" s="74"/>
      <c r="E40" s="74"/>
      <c r="F40" s="74"/>
    </row>
    <row r="41" spans="1:6" x14ac:dyDescent="0.25">
      <c r="A41" s="32" t="s">
        <v>190</v>
      </c>
      <c r="B41" s="86" t="s">
        <v>191</v>
      </c>
      <c r="C41" s="74"/>
      <c r="D41" s="74"/>
      <c r="E41" s="74"/>
      <c r="F41" s="74"/>
    </row>
    <row r="42" spans="1:6" x14ac:dyDescent="0.25">
      <c r="A42" s="32" t="s">
        <v>192</v>
      </c>
      <c r="B42" s="86" t="s">
        <v>193</v>
      </c>
      <c r="C42" s="74"/>
      <c r="D42" s="74"/>
      <c r="E42" s="74"/>
      <c r="F42" s="74"/>
    </row>
    <row r="43" spans="1:6" x14ac:dyDescent="0.25">
      <c r="A43" s="32" t="s">
        <v>194</v>
      </c>
      <c r="B43" s="86" t="s">
        <v>195</v>
      </c>
      <c r="C43" s="74"/>
      <c r="D43" s="74"/>
      <c r="E43" s="74"/>
      <c r="F43" s="74"/>
    </row>
    <row r="44" spans="1:6" x14ac:dyDescent="0.25">
      <c r="A44" s="32" t="s">
        <v>196</v>
      </c>
      <c r="B44" s="86" t="s">
        <v>197</v>
      </c>
      <c r="C44" s="74"/>
      <c r="D44" s="74"/>
      <c r="E44" s="74"/>
      <c r="F44" s="74"/>
    </row>
    <row r="45" spans="1:6" x14ac:dyDescent="0.25">
      <c r="A45" s="30" t="s">
        <v>198</v>
      </c>
      <c r="B45" s="86" t="s">
        <v>199</v>
      </c>
      <c r="C45" s="74"/>
      <c r="D45" s="74"/>
      <c r="E45" s="74"/>
      <c r="F45" s="74"/>
    </row>
    <row r="46" spans="1:6" x14ac:dyDescent="0.25">
      <c r="A46" s="32" t="s">
        <v>200</v>
      </c>
      <c r="B46" s="86" t="s">
        <v>201</v>
      </c>
      <c r="C46" s="74"/>
      <c r="D46" s="74"/>
      <c r="E46" s="74"/>
      <c r="F46" s="74"/>
    </row>
    <row r="47" spans="1:6" x14ac:dyDescent="0.25">
      <c r="A47" s="32" t="s">
        <v>202</v>
      </c>
      <c r="B47" s="86" t="s">
        <v>203</v>
      </c>
      <c r="C47" s="74"/>
      <c r="D47" s="74"/>
      <c r="E47" s="74"/>
      <c r="F47" s="74"/>
    </row>
    <row r="48" spans="1:6" x14ac:dyDescent="0.25">
      <c r="A48" s="32" t="s">
        <v>204</v>
      </c>
      <c r="B48" s="86" t="s">
        <v>205</v>
      </c>
      <c r="C48" s="74"/>
      <c r="D48" s="74"/>
      <c r="E48" s="74"/>
      <c r="F48" s="74"/>
    </row>
    <row r="49" spans="1:6" x14ac:dyDescent="0.25">
      <c r="A49" s="30" t="s">
        <v>206</v>
      </c>
      <c r="B49" s="86" t="s">
        <v>207</v>
      </c>
      <c r="C49" s="74"/>
      <c r="D49" s="74"/>
      <c r="E49" s="74"/>
      <c r="F49" s="74"/>
    </row>
    <row r="50" spans="1:6" x14ac:dyDescent="0.25">
      <c r="A50" s="116"/>
      <c r="B50" s="92" t="s">
        <v>208</v>
      </c>
      <c r="C50" s="79">
        <v>628.74</v>
      </c>
      <c r="D50" s="79">
        <v>323.64</v>
      </c>
      <c r="E50" s="74"/>
      <c r="F50" s="79">
        <v>323.64</v>
      </c>
    </row>
    <row r="51" spans="1:6" x14ac:dyDescent="0.25">
      <c r="A51" s="93"/>
      <c r="B51" s="91" t="s">
        <v>209</v>
      </c>
      <c r="C51" s="79">
        <f>C39+C50</f>
        <v>74665.670000000013</v>
      </c>
      <c r="D51" s="79">
        <f t="shared" ref="D51:F51" si="2">D39+D50</f>
        <v>83141.429999999993</v>
      </c>
      <c r="E51" s="79">
        <f t="shared" si="2"/>
        <v>2273.5299999999997</v>
      </c>
      <c r="F51" s="79">
        <f t="shared" si="2"/>
        <v>80867.900000000009</v>
      </c>
    </row>
    <row r="52" spans="1:6" x14ac:dyDescent="0.25">
      <c r="B52" s="81"/>
      <c r="C52" s="82"/>
      <c r="D52" s="82"/>
      <c r="E52" s="82"/>
    </row>
    <row r="53" spans="1:6" x14ac:dyDescent="0.25">
      <c r="A53" s="4" t="s">
        <v>0</v>
      </c>
      <c r="B53" s="94"/>
      <c r="C53" s="4" t="s">
        <v>282</v>
      </c>
    </row>
    <row r="55" spans="1:6" ht="15.6" x14ac:dyDescent="0.3">
      <c r="A55" s="46" t="s">
        <v>324</v>
      </c>
    </row>
    <row r="56" spans="1:6" x14ac:dyDescent="0.25">
      <c r="A56" s="127" t="s">
        <v>438</v>
      </c>
    </row>
    <row r="57" spans="1:6" ht="26.55" customHeight="1" x14ac:dyDescent="0.25">
      <c r="A57" s="341" t="s">
        <v>86</v>
      </c>
      <c r="B57" s="341" t="s">
        <v>91</v>
      </c>
      <c r="C57" s="83" t="s">
        <v>301</v>
      </c>
      <c r="D57" s="345" t="s">
        <v>288</v>
      </c>
      <c r="E57" s="346"/>
      <c r="F57" s="347"/>
    </row>
    <row r="58" spans="1:6" ht="38.4" customHeight="1" x14ac:dyDescent="0.25">
      <c r="A58" s="342"/>
      <c r="B58" s="342"/>
      <c r="C58" s="33" t="s">
        <v>525</v>
      </c>
      <c r="D58" s="33" t="s">
        <v>604</v>
      </c>
      <c r="E58" s="208" t="s">
        <v>603</v>
      </c>
      <c r="F58" s="33" t="s">
        <v>527</v>
      </c>
    </row>
    <row r="59" spans="1:6" ht="15" customHeight="1" x14ac:dyDescent="0.25">
      <c r="A59" s="74"/>
      <c r="B59" s="74" t="s">
        <v>447</v>
      </c>
      <c r="C59" s="74"/>
      <c r="D59" s="79">
        <v>9</v>
      </c>
      <c r="E59" s="74"/>
      <c r="F59" s="79">
        <v>9</v>
      </c>
    </row>
    <row r="60" spans="1:6" ht="23.4" customHeight="1" x14ac:dyDescent="0.25">
      <c r="A60" s="74"/>
      <c r="B60" s="74" t="s">
        <v>305</v>
      </c>
      <c r="C60" s="74"/>
      <c r="D60" s="79">
        <f>D61+D62+D63+D64</f>
        <v>401.92999999999995</v>
      </c>
      <c r="E60" s="79">
        <f>E61+E62+E63+E64</f>
        <v>18.090000000000003</v>
      </c>
      <c r="F60" s="79">
        <f>F61+F62+F63+F64</f>
        <v>383.84</v>
      </c>
    </row>
    <row r="61" spans="1:6" ht="13.8" customHeight="1" x14ac:dyDescent="0.25">
      <c r="A61" s="74"/>
      <c r="B61" s="191" t="s">
        <v>545</v>
      </c>
      <c r="C61" s="74"/>
      <c r="D61" s="75">
        <v>216.39</v>
      </c>
      <c r="E61" s="196">
        <v>9.9700000000000006</v>
      </c>
      <c r="F61" s="74">
        <v>206.42</v>
      </c>
    </row>
    <row r="62" spans="1:6" ht="13.8" customHeight="1" x14ac:dyDescent="0.25">
      <c r="A62" s="74"/>
      <c r="B62" s="191" t="s">
        <v>546</v>
      </c>
      <c r="C62" s="74"/>
      <c r="D62" s="75">
        <v>127.21</v>
      </c>
      <c r="E62" s="196">
        <v>5.86</v>
      </c>
      <c r="F62" s="74">
        <v>121.35</v>
      </c>
    </row>
    <row r="63" spans="1:6" ht="13.8" customHeight="1" x14ac:dyDescent="0.25">
      <c r="A63" s="74"/>
      <c r="B63" s="191" t="s">
        <v>547</v>
      </c>
      <c r="C63" s="74"/>
      <c r="D63" s="75">
        <v>48.96</v>
      </c>
      <c r="E63" s="196">
        <v>2.2599999999999998</v>
      </c>
      <c r="F63" s="74">
        <v>46.7</v>
      </c>
    </row>
    <row r="64" spans="1:6" ht="13.8" customHeight="1" x14ac:dyDescent="0.25">
      <c r="A64" s="74"/>
      <c r="B64" s="191" t="s">
        <v>548</v>
      </c>
      <c r="C64" s="74"/>
      <c r="D64" s="75">
        <v>9.3699999999999992</v>
      </c>
      <c r="E64" s="196"/>
      <c r="F64" s="74">
        <v>9.3699999999999992</v>
      </c>
    </row>
    <row r="65" spans="1:6" ht="32.4" customHeight="1" x14ac:dyDescent="0.25">
      <c r="A65" s="74"/>
      <c r="B65" s="74" t="s">
        <v>306</v>
      </c>
      <c r="C65" s="74"/>
      <c r="D65" s="79">
        <f>D66+D67+D68+D69+D70+D71+D72+D73+D74</f>
        <v>506.4799999999999</v>
      </c>
      <c r="E65" s="79">
        <f>E66+E67+E68+E69+E70+E71+E72+E73+E74</f>
        <v>15.52</v>
      </c>
      <c r="F65" s="79">
        <f>F66+F67+F68+F69+F70+F71+F72+F73+F74</f>
        <v>490.95999999999992</v>
      </c>
    </row>
    <row r="66" spans="1:6" ht="13.8" customHeight="1" x14ac:dyDescent="0.25">
      <c r="A66" s="74"/>
      <c r="B66" s="191" t="s">
        <v>541</v>
      </c>
      <c r="C66" s="74"/>
      <c r="D66" s="75">
        <v>336.59</v>
      </c>
      <c r="E66" s="196">
        <v>15.52</v>
      </c>
      <c r="F66" s="74">
        <v>321.07</v>
      </c>
    </row>
    <row r="67" spans="1:6" ht="13.8" customHeight="1" x14ac:dyDescent="0.25">
      <c r="A67" s="74"/>
      <c r="B67" s="192" t="s">
        <v>326</v>
      </c>
      <c r="C67" s="74"/>
      <c r="D67" s="75">
        <v>42</v>
      </c>
      <c r="E67" s="196"/>
      <c r="F67" s="75">
        <v>42</v>
      </c>
    </row>
    <row r="68" spans="1:6" ht="13.8" customHeight="1" x14ac:dyDescent="0.25">
      <c r="A68" s="74"/>
      <c r="B68" s="192" t="s">
        <v>429</v>
      </c>
      <c r="C68" s="74"/>
      <c r="D68" s="75">
        <v>12.53</v>
      </c>
      <c r="E68" s="196"/>
      <c r="F68" s="75">
        <v>12.53</v>
      </c>
    </row>
    <row r="69" spans="1:6" ht="13.8" customHeight="1" x14ac:dyDescent="0.25">
      <c r="A69" s="74"/>
      <c r="B69" s="191" t="s">
        <v>542</v>
      </c>
      <c r="C69" s="74"/>
      <c r="D69" s="75">
        <v>56.46</v>
      </c>
      <c r="E69" s="196"/>
      <c r="F69" s="75">
        <v>56.46</v>
      </c>
    </row>
    <row r="70" spans="1:6" ht="13.8" customHeight="1" x14ac:dyDescent="0.25">
      <c r="A70" s="74"/>
      <c r="B70" s="191" t="s">
        <v>543</v>
      </c>
      <c r="C70" s="74"/>
      <c r="D70" s="75">
        <f>6.9+5.59+6.9</f>
        <v>19.39</v>
      </c>
      <c r="E70" s="196"/>
      <c r="F70" s="75">
        <f>6.9+5.59+6.9</f>
        <v>19.39</v>
      </c>
    </row>
    <row r="71" spans="1:6" ht="13.8" customHeight="1" x14ac:dyDescent="0.25">
      <c r="A71" s="74"/>
      <c r="B71" s="191" t="s">
        <v>544</v>
      </c>
      <c r="C71" s="74"/>
      <c r="D71" s="75">
        <v>2.4</v>
      </c>
      <c r="E71" s="196"/>
      <c r="F71" s="75">
        <v>2.4</v>
      </c>
    </row>
    <row r="72" spans="1:6" ht="13.8" customHeight="1" x14ac:dyDescent="0.25">
      <c r="A72" s="74"/>
      <c r="B72" s="191" t="s">
        <v>559</v>
      </c>
      <c r="C72" s="74"/>
      <c r="D72" s="75">
        <v>17.75</v>
      </c>
      <c r="E72" s="196"/>
      <c r="F72" s="75">
        <v>17.75</v>
      </c>
    </row>
    <row r="73" spans="1:6" ht="13.8" customHeight="1" x14ac:dyDescent="0.25">
      <c r="A73" s="74"/>
      <c r="B73" s="191" t="s">
        <v>557</v>
      </c>
      <c r="C73" s="74"/>
      <c r="D73" s="75">
        <v>4.3600000000000003</v>
      </c>
      <c r="E73" s="196"/>
      <c r="F73" s="75">
        <v>4.3600000000000003</v>
      </c>
    </row>
    <row r="74" spans="1:6" ht="13.8" customHeight="1" x14ac:dyDescent="0.25">
      <c r="A74" s="74"/>
      <c r="B74" s="191" t="s">
        <v>558</v>
      </c>
      <c r="C74" s="74"/>
      <c r="D74" s="75">
        <v>15</v>
      </c>
      <c r="E74" s="196"/>
      <c r="F74" s="75">
        <v>15</v>
      </c>
    </row>
    <row r="75" spans="1:6" x14ac:dyDescent="0.25">
      <c r="A75" s="74"/>
      <c r="B75" s="74" t="s">
        <v>307</v>
      </c>
      <c r="C75" s="74"/>
      <c r="D75" s="79">
        <v>207.9</v>
      </c>
      <c r="E75" s="80">
        <v>9.58</v>
      </c>
      <c r="F75" s="80">
        <v>198.32</v>
      </c>
    </row>
    <row r="76" spans="1:6" ht="18.600000000000001" customHeight="1" x14ac:dyDescent="0.25">
      <c r="A76" s="74"/>
      <c r="B76" s="74" t="s">
        <v>92</v>
      </c>
      <c r="C76" s="74"/>
      <c r="D76" s="79">
        <f>D77+D78+D79+D80+D81</f>
        <v>444.58</v>
      </c>
      <c r="E76" s="196"/>
      <c r="F76" s="79">
        <f>F77+F78+F79+F80+F81</f>
        <v>444.58</v>
      </c>
    </row>
    <row r="77" spans="1:6" x14ac:dyDescent="0.25">
      <c r="A77" s="74"/>
      <c r="B77" s="191" t="s">
        <v>549</v>
      </c>
      <c r="C77" s="74"/>
      <c r="D77" s="75">
        <v>122.4</v>
      </c>
      <c r="E77" s="196"/>
      <c r="F77" s="75">
        <v>122.4</v>
      </c>
    </row>
    <row r="78" spans="1:6" x14ac:dyDescent="0.25">
      <c r="A78" s="74"/>
      <c r="B78" s="191" t="s">
        <v>550</v>
      </c>
      <c r="C78" s="74"/>
      <c r="D78" s="75">
        <v>85.8</v>
      </c>
      <c r="E78" s="196"/>
      <c r="F78" s="75">
        <v>85.8</v>
      </c>
    </row>
    <row r="79" spans="1:6" x14ac:dyDescent="0.25">
      <c r="A79" s="74"/>
      <c r="B79" s="191" t="s">
        <v>551</v>
      </c>
      <c r="C79" s="74"/>
      <c r="D79" s="75">
        <v>144</v>
      </c>
      <c r="E79" s="196"/>
      <c r="F79" s="75">
        <v>144</v>
      </c>
    </row>
    <row r="80" spans="1:6" x14ac:dyDescent="0.25">
      <c r="A80" s="74"/>
      <c r="B80" s="191" t="s">
        <v>448</v>
      </c>
      <c r="C80" s="74"/>
      <c r="D80" s="75">
        <v>90.23</v>
      </c>
      <c r="E80" s="196"/>
      <c r="F80" s="75">
        <v>90.23</v>
      </c>
    </row>
    <row r="81" spans="1:6" x14ac:dyDescent="0.25">
      <c r="A81" s="74"/>
      <c r="B81" s="191" t="s">
        <v>565</v>
      </c>
      <c r="C81" s="74"/>
      <c r="D81" s="75">
        <v>2.15</v>
      </c>
      <c r="E81" s="196"/>
      <c r="F81" s="75">
        <v>2.15</v>
      </c>
    </row>
    <row r="82" spans="1:6" x14ac:dyDescent="0.25">
      <c r="A82" s="74"/>
      <c r="B82" s="74" t="s">
        <v>560</v>
      </c>
      <c r="C82" s="74"/>
      <c r="D82" s="75">
        <v>42.47</v>
      </c>
      <c r="E82" s="74"/>
      <c r="F82" s="75">
        <v>42.47</v>
      </c>
    </row>
    <row r="83" spans="1:6" x14ac:dyDescent="0.25">
      <c r="A83" s="96"/>
      <c r="B83" s="74" t="s">
        <v>308</v>
      </c>
      <c r="C83" s="74"/>
      <c r="D83" s="75">
        <f>D84+D85+D86+D87</f>
        <v>132.65</v>
      </c>
      <c r="E83" s="74"/>
      <c r="F83" s="75">
        <f>F84+F85+F86+F87</f>
        <v>132.65</v>
      </c>
    </row>
    <row r="84" spans="1:6" x14ac:dyDescent="0.25">
      <c r="A84" s="96"/>
      <c r="B84" s="191" t="s">
        <v>566</v>
      </c>
      <c r="C84" s="74"/>
      <c r="D84" s="75">
        <v>27.15</v>
      </c>
      <c r="E84" s="74"/>
      <c r="F84" s="75">
        <v>27.15</v>
      </c>
    </row>
    <row r="85" spans="1:6" x14ac:dyDescent="0.25">
      <c r="A85" s="96"/>
      <c r="B85" s="191" t="s">
        <v>567</v>
      </c>
      <c r="C85" s="74"/>
      <c r="D85" s="75">
        <v>40</v>
      </c>
      <c r="E85" s="74"/>
      <c r="F85" s="75">
        <v>40</v>
      </c>
    </row>
    <row r="86" spans="1:6" x14ac:dyDescent="0.25">
      <c r="A86" s="96"/>
      <c r="B86" s="191" t="s">
        <v>568</v>
      </c>
      <c r="C86" s="74"/>
      <c r="D86" s="75">
        <v>16</v>
      </c>
      <c r="E86" s="74"/>
      <c r="F86" s="75">
        <v>16</v>
      </c>
    </row>
    <row r="87" spans="1:6" x14ac:dyDescent="0.25">
      <c r="A87" s="96"/>
      <c r="B87" s="191" t="s">
        <v>569</v>
      </c>
      <c r="C87" s="74"/>
      <c r="D87" s="75">
        <v>49.5</v>
      </c>
      <c r="E87" s="74"/>
      <c r="F87" s="75">
        <v>49.5</v>
      </c>
    </row>
    <row r="88" spans="1:6" x14ac:dyDescent="0.25">
      <c r="A88" s="74"/>
      <c r="B88" s="74" t="s">
        <v>552</v>
      </c>
      <c r="C88" s="74"/>
      <c r="D88" s="79">
        <v>22.13</v>
      </c>
      <c r="E88" s="74"/>
      <c r="F88" s="79">
        <v>22.13</v>
      </c>
    </row>
    <row r="89" spans="1:6" x14ac:dyDescent="0.25">
      <c r="A89" s="74"/>
      <c r="B89" s="74" t="s">
        <v>449</v>
      </c>
      <c r="C89" s="74"/>
      <c r="D89" s="79">
        <v>12.97</v>
      </c>
      <c r="E89" s="74"/>
      <c r="F89" s="79">
        <v>12.97</v>
      </c>
    </row>
    <row r="90" spans="1:6" ht="20.399999999999999" customHeight="1" x14ac:dyDescent="0.25">
      <c r="A90" s="74"/>
      <c r="B90" s="74" t="s">
        <v>320</v>
      </c>
      <c r="C90" s="74"/>
      <c r="D90" s="79">
        <f>D91+D92+D93+D94</f>
        <v>643.59</v>
      </c>
      <c r="E90" s="196"/>
      <c r="F90" s="79">
        <f>F91+F92+F93+F94</f>
        <v>643.59</v>
      </c>
    </row>
    <row r="91" spans="1:6" x14ac:dyDescent="0.25">
      <c r="A91" s="74"/>
      <c r="B91" s="191" t="s">
        <v>553</v>
      </c>
      <c r="C91" s="74"/>
      <c r="D91" s="75">
        <v>354.43</v>
      </c>
      <c r="E91" s="74"/>
      <c r="F91" s="75">
        <v>354.43</v>
      </c>
    </row>
    <row r="92" spans="1:6" x14ac:dyDescent="0.25">
      <c r="A92" s="74"/>
      <c r="B92" s="191" t="s">
        <v>554</v>
      </c>
      <c r="C92" s="74"/>
      <c r="D92" s="75">
        <v>72</v>
      </c>
      <c r="E92" s="74"/>
      <c r="F92" s="75">
        <v>72</v>
      </c>
    </row>
    <row r="93" spans="1:6" x14ac:dyDescent="0.25">
      <c r="A93" s="74"/>
      <c r="B93" s="191" t="s">
        <v>555</v>
      </c>
      <c r="C93" s="74"/>
      <c r="D93" s="75">
        <v>207.41</v>
      </c>
      <c r="E93" s="74"/>
      <c r="F93" s="75">
        <v>207.41</v>
      </c>
    </row>
    <row r="94" spans="1:6" x14ac:dyDescent="0.25">
      <c r="A94" s="74"/>
      <c r="B94" s="191" t="s">
        <v>556</v>
      </c>
      <c r="C94" s="74"/>
      <c r="D94" s="75">
        <v>9.75</v>
      </c>
      <c r="E94" s="74"/>
      <c r="F94" s="75">
        <v>9.75</v>
      </c>
    </row>
    <row r="95" spans="1:6" x14ac:dyDescent="0.25">
      <c r="A95" s="74"/>
      <c r="B95" s="74" t="s">
        <v>434</v>
      </c>
      <c r="C95" s="74"/>
      <c r="D95" s="79">
        <v>11.84</v>
      </c>
      <c r="E95" s="80">
        <v>0.55000000000000004</v>
      </c>
      <c r="F95" s="80">
        <v>11.29</v>
      </c>
    </row>
    <row r="96" spans="1:6" x14ac:dyDescent="0.25">
      <c r="A96" s="74"/>
      <c r="B96" s="74" t="s">
        <v>309</v>
      </c>
      <c r="C96" s="74"/>
      <c r="D96" s="79">
        <f>D97+D98+D99</f>
        <v>13.18</v>
      </c>
      <c r="E96" s="74"/>
      <c r="F96" s="79">
        <f>F97+F98+F99</f>
        <v>13.18</v>
      </c>
    </row>
    <row r="97" spans="1:6" x14ac:dyDescent="0.25">
      <c r="A97" s="74"/>
      <c r="B97" s="191" t="s">
        <v>561</v>
      </c>
      <c r="C97" s="74"/>
      <c r="D97" s="75">
        <v>10.09</v>
      </c>
      <c r="E97" s="74"/>
      <c r="F97" s="75">
        <v>10.09</v>
      </c>
    </row>
    <row r="98" spans="1:6" x14ac:dyDescent="0.25">
      <c r="A98" s="74"/>
      <c r="B98" s="191" t="s">
        <v>562</v>
      </c>
      <c r="C98" s="74"/>
      <c r="D98" s="75">
        <v>2.8</v>
      </c>
      <c r="E98" s="74"/>
      <c r="F98" s="75">
        <v>2.8</v>
      </c>
    </row>
    <row r="99" spans="1:6" x14ac:dyDescent="0.25">
      <c r="A99" s="74"/>
      <c r="B99" s="191" t="s">
        <v>563</v>
      </c>
      <c r="C99" s="74"/>
      <c r="D99" s="75">
        <v>0.28999999999999998</v>
      </c>
      <c r="E99" s="74"/>
      <c r="F99" s="75">
        <v>0.28999999999999998</v>
      </c>
    </row>
    <row r="100" spans="1:6" ht="21" x14ac:dyDescent="0.25">
      <c r="A100" s="74"/>
      <c r="B100" s="195" t="s">
        <v>310</v>
      </c>
      <c r="C100" s="74"/>
      <c r="D100" s="79">
        <v>31.69</v>
      </c>
      <c r="E100" s="74"/>
      <c r="F100" s="79">
        <v>31.69</v>
      </c>
    </row>
    <row r="101" spans="1:6" x14ac:dyDescent="0.25">
      <c r="A101" s="74"/>
      <c r="B101" s="196" t="s">
        <v>457</v>
      </c>
      <c r="C101" s="74"/>
      <c r="D101" s="79">
        <v>6.79</v>
      </c>
      <c r="E101" s="74"/>
      <c r="F101" s="79">
        <v>6.79</v>
      </c>
    </row>
    <row r="102" spans="1:6" ht="21" x14ac:dyDescent="0.25">
      <c r="A102" s="74"/>
      <c r="B102" s="223" t="s">
        <v>571</v>
      </c>
      <c r="C102" s="224"/>
      <c r="D102" s="225">
        <v>199</v>
      </c>
      <c r="E102" s="224"/>
      <c r="F102" s="225">
        <v>199</v>
      </c>
    </row>
    <row r="103" spans="1:6" x14ac:dyDescent="0.25">
      <c r="A103" s="74"/>
      <c r="B103" s="74" t="s">
        <v>436</v>
      </c>
      <c r="C103" s="74"/>
      <c r="D103" s="79">
        <f>18.04+0.97</f>
        <v>19.009999999999998</v>
      </c>
      <c r="E103" s="74"/>
      <c r="F103" s="79">
        <f>18.04+0.97</f>
        <v>19.009999999999998</v>
      </c>
    </row>
    <row r="104" spans="1:6" x14ac:dyDescent="0.25">
      <c r="A104" s="74"/>
      <c r="B104" s="74" t="s">
        <v>572</v>
      </c>
      <c r="C104" s="74"/>
      <c r="D104" s="79">
        <v>4.25</v>
      </c>
      <c r="E104" s="74"/>
      <c r="F104" s="79">
        <v>4.25</v>
      </c>
    </row>
    <row r="105" spans="1:6" x14ac:dyDescent="0.25">
      <c r="A105" s="74"/>
      <c r="B105" s="74" t="s">
        <v>573</v>
      </c>
      <c r="C105" s="74"/>
      <c r="D105" s="79">
        <f>1.13+18.63+14.92</f>
        <v>34.68</v>
      </c>
      <c r="E105" s="74"/>
      <c r="F105" s="79">
        <f>1.13+18.63+14.92</f>
        <v>34.68</v>
      </c>
    </row>
    <row r="106" spans="1:6" x14ac:dyDescent="0.25">
      <c r="A106" s="74"/>
      <c r="B106" s="74" t="s">
        <v>574</v>
      </c>
      <c r="C106" s="74"/>
      <c r="D106" s="79">
        <v>6</v>
      </c>
      <c r="E106" s="74"/>
      <c r="F106" s="79">
        <v>6</v>
      </c>
    </row>
    <row r="107" spans="1:6" x14ac:dyDescent="0.25">
      <c r="A107" s="74"/>
      <c r="B107" s="74" t="s">
        <v>578</v>
      </c>
      <c r="C107" s="74"/>
      <c r="D107" s="79">
        <v>5.89</v>
      </c>
      <c r="E107" s="74"/>
      <c r="F107" s="79">
        <v>5.89</v>
      </c>
    </row>
    <row r="108" spans="1:6" x14ac:dyDescent="0.25">
      <c r="A108" s="74"/>
      <c r="B108" s="74" t="s">
        <v>575</v>
      </c>
      <c r="C108" s="74"/>
      <c r="D108" s="79">
        <v>0.7</v>
      </c>
      <c r="E108" s="74"/>
      <c r="F108" s="79">
        <v>0.7</v>
      </c>
    </row>
    <row r="109" spans="1:6" x14ac:dyDescent="0.25">
      <c r="A109" s="74"/>
      <c r="B109" s="74" t="s">
        <v>576</v>
      </c>
      <c r="C109" s="74"/>
      <c r="D109" s="79">
        <v>3.3</v>
      </c>
      <c r="E109" s="74"/>
      <c r="F109" s="79">
        <v>3.3</v>
      </c>
    </row>
    <row r="110" spans="1:6" x14ac:dyDescent="0.25">
      <c r="A110" s="74"/>
      <c r="B110" s="74" t="s">
        <v>540</v>
      </c>
      <c r="C110" s="74"/>
      <c r="D110" s="79">
        <v>1153.02</v>
      </c>
      <c r="E110" s="74"/>
      <c r="F110" s="79">
        <v>1153.02</v>
      </c>
    </row>
    <row r="111" spans="1:6" x14ac:dyDescent="0.25">
      <c r="A111" s="74"/>
      <c r="B111" s="74" t="s">
        <v>311</v>
      </c>
      <c r="C111" s="74"/>
      <c r="D111" s="79">
        <f>127.15</f>
        <v>127.15</v>
      </c>
      <c r="E111" s="74"/>
      <c r="F111" s="79">
        <f>127.15</f>
        <v>127.15</v>
      </c>
    </row>
    <row r="112" spans="1:6" x14ac:dyDescent="0.25">
      <c r="A112" s="96"/>
      <c r="B112" s="74" t="s">
        <v>564</v>
      </c>
      <c r="C112" s="74"/>
      <c r="D112" s="79">
        <v>5.2</v>
      </c>
      <c r="E112" s="74"/>
      <c r="F112" s="79">
        <v>5.2</v>
      </c>
    </row>
    <row r="113" spans="1:6" x14ac:dyDescent="0.25">
      <c r="A113" s="74"/>
      <c r="B113" s="80" t="s">
        <v>88</v>
      </c>
      <c r="C113" s="80">
        <f>SUM(C59:C111)</f>
        <v>0</v>
      </c>
      <c r="D113" s="79">
        <f>D59+D60+D65+D75+D76+D82+D83+D88+D89+D90+D95+D96+D100+D101+D102+D103+D104+D105+D106+D107+D108+D109+D110+D111+D112</f>
        <v>4045.4</v>
      </c>
      <c r="E113" s="79">
        <f>E59+E60+E65+E75+E76+E82+E83+E88+E89+E90+E95+E96+E100+E101+E102+E103+E104+E105+E106+E107+E108+E109+E110+E111+E112</f>
        <v>43.739999999999995</v>
      </c>
      <c r="F113" s="79">
        <f>F59+F60+F65+F75+F76+F82+F83+F88+F89+F90+F95+F96+F100+F101+F102+F103+F104+F105+F106+F107+F108+F109+F110+F111+F112</f>
        <v>4001.66</v>
      </c>
    </row>
    <row r="115" spans="1:6" x14ac:dyDescent="0.25">
      <c r="A115" s="4" t="s">
        <v>0</v>
      </c>
      <c r="B115" s="94"/>
      <c r="C115" s="4" t="s">
        <v>282</v>
      </c>
    </row>
    <row r="119" spans="1:6" ht="17.399999999999999" x14ac:dyDescent="0.3">
      <c r="B119" s="95" t="s">
        <v>312</v>
      </c>
    </row>
    <row r="121" spans="1:6" ht="25.95" customHeight="1" x14ac:dyDescent="0.25">
      <c r="A121" s="341" t="s">
        <v>86</v>
      </c>
      <c r="B121" s="341" t="s">
        <v>91</v>
      </c>
      <c r="C121" s="83" t="s">
        <v>301</v>
      </c>
      <c r="D121" s="345" t="s">
        <v>288</v>
      </c>
      <c r="E121" s="346"/>
      <c r="F121" s="347"/>
    </row>
    <row r="122" spans="1:6" ht="53.4" customHeight="1" x14ac:dyDescent="0.25">
      <c r="A122" s="342"/>
      <c r="B122" s="342"/>
      <c r="C122" s="33" t="s">
        <v>525</v>
      </c>
      <c r="D122" s="33" t="s">
        <v>604</v>
      </c>
      <c r="E122" s="208" t="s">
        <v>603</v>
      </c>
      <c r="F122" s="33" t="s">
        <v>527</v>
      </c>
    </row>
    <row r="123" spans="1:6" x14ac:dyDescent="0.25">
      <c r="A123" s="74">
        <v>1</v>
      </c>
      <c r="B123" s="74" t="s">
        <v>157</v>
      </c>
      <c r="C123" s="75">
        <v>3284.31</v>
      </c>
      <c r="D123" s="79">
        <v>1655.2</v>
      </c>
      <c r="E123" s="80">
        <f>257.54+10</f>
        <v>267.54000000000002</v>
      </c>
      <c r="F123" s="79">
        <f>D123-E123</f>
        <v>1387.66</v>
      </c>
    </row>
    <row r="124" spans="1:6" x14ac:dyDescent="0.25">
      <c r="A124" s="74">
        <v>2</v>
      </c>
      <c r="B124" s="74" t="s">
        <v>313</v>
      </c>
      <c r="C124" s="75">
        <v>3907.19</v>
      </c>
      <c r="D124" s="79">
        <f>1320.2+D127+D128+D129</f>
        <v>3761.52</v>
      </c>
      <c r="E124" s="79">
        <f>495.54+2</f>
        <v>497.54</v>
      </c>
      <c r="F124" s="79">
        <f>1320.2+F127+F128+F129-E124</f>
        <v>3264.15</v>
      </c>
    </row>
    <row r="125" spans="1:6" x14ac:dyDescent="0.25">
      <c r="A125" s="74" t="s">
        <v>221</v>
      </c>
      <c r="B125" s="74" t="s">
        <v>315</v>
      </c>
      <c r="C125" s="74"/>
      <c r="D125" s="74">
        <v>111.8</v>
      </c>
      <c r="E125" s="74"/>
      <c r="F125" s="74">
        <v>111.8</v>
      </c>
    </row>
    <row r="126" spans="1:6" x14ac:dyDescent="0.25">
      <c r="A126" s="74"/>
      <c r="B126" s="74" t="s">
        <v>460</v>
      </c>
      <c r="C126" s="74"/>
      <c r="D126" s="74">
        <v>108.1</v>
      </c>
      <c r="E126" s="74"/>
      <c r="F126" s="74">
        <v>108.1</v>
      </c>
    </row>
    <row r="127" spans="1:6" x14ac:dyDescent="0.25">
      <c r="A127" s="74">
        <v>3</v>
      </c>
      <c r="B127" s="74" t="s">
        <v>316</v>
      </c>
      <c r="C127" s="74">
        <v>2327.9699999999998</v>
      </c>
      <c r="D127" s="80">
        <v>1846.93</v>
      </c>
      <c r="E127" s="74"/>
      <c r="F127" s="80">
        <v>1847.1</v>
      </c>
    </row>
    <row r="128" spans="1:6" x14ac:dyDescent="0.25">
      <c r="A128" s="74">
        <v>4</v>
      </c>
      <c r="B128" s="74" t="s">
        <v>314</v>
      </c>
      <c r="C128" s="74">
        <v>318.52</v>
      </c>
      <c r="D128" s="80">
        <v>392.96</v>
      </c>
      <c r="E128" s="74"/>
      <c r="F128" s="80">
        <v>392.96</v>
      </c>
    </row>
    <row r="129" spans="1:8" x14ac:dyDescent="0.25">
      <c r="A129" s="74">
        <v>5</v>
      </c>
      <c r="B129" s="74" t="s">
        <v>317</v>
      </c>
      <c r="C129" s="74">
        <v>645.6</v>
      </c>
      <c r="D129" s="80">
        <v>201.43</v>
      </c>
      <c r="E129" s="74"/>
      <c r="F129" s="80">
        <v>201.43</v>
      </c>
    </row>
    <row r="130" spans="1:8" ht="15.6" x14ac:dyDescent="0.3">
      <c r="A130" s="74"/>
      <c r="B130" s="80" t="s">
        <v>88</v>
      </c>
      <c r="C130" s="164">
        <f>C123+C124</f>
        <v>7191.5</v>
      </c>
      <c r="D130" s="164">
        <f>D123+D124</f>
        <v>5416.72</v>
      </c>
      <c r="E130" s="80">
        <f>SUM(E123:E129)</f>
        <v>765.08</v>
      </c>
      <c r="F130" s="164">
        <f>F123+F124</f>
        <v>4651.8100000000004</v>
      </c>
      <c r="H130" s="209"/>
    </row>
    <row r="132" spans="1:8" x14ac:dyDescent="0.25">
      <c r="A132" s="4" t="s">
        <v>0</v>
      </c>
      <c r="B132" s="94"/>
      <c r="C132" s="4" t="s">
        <v>282</v>
      </c>
    </row>
    <row r="133" spans="1:8" ht="17.399999999999999" x14ac:dyDescent="0.3">
      <c r="A133" s="95" t="s">
        <v>318</v>
      </c>
    </row>
    <row r="134" spans="1:8" ht="44.55" customHeight="1" x14ac:dyDescent="0.25">
      <c r="A134" s="341" t="s">
        <v>86</v>
      </c>
      <c r="B134" s="341" t="s">
        <v>91</v>
      </c>
      <c r="C134" s="83" t="s">
        <v>301</v>
      </c>
      <c r="D134" s="36" t="s">
        <v>288</v>
      </c>
      <c r="E134" s="130"/>
    </row>
    <row r="135" spans="1:8" ht="45.45" customHeight="1" x14ac:dyDescent="0.25">
      <c r="A135" s="342"/>
      <c r="B135" s="342"/>
      <c r="C135" s="33" t="s">
        <v>525</v>
      </c>
      <c r="D135" s="33" t="s">
        <v>526</v>
      </c>
      <c r="E135" s="131"/>
    </row>
    <row r="136" spans="1:8" x14ac:dyDescent="0.25">
      <c r="A136" s="74"/>
      <c r="B136" s="39" t="s">
        <v>220</v>
      </c>
      <c r="C136" s="80"/>
      <c r="D136" s="80">
        <f>D138</f>
        <v>0</v>
      </c>
      <c r="E136" s="132"/>
    </row>
    <row r="137" spans="1:8" x14ac:dyDescent="0.25">
      <c r="A137" s="74"/>
      <c r="B137" s="35" t="s">
        <v>221</v>
      </c>
      <c r="C137" s="80"/>
      <c r="D137" s="74"/>
      <c r="E137" s="132"/>
    </row>
    <row r="138" spans="1:8" x14ac:dyDescent="0.25">
      <c r="A138" s="74"/>
      <c r="B138" s="35" t="s">
        <v>222</v>
      </c>
      <c r="C138" s="74"/>
      <c r="D138" s="74"/>
      <c r="E138" s="132"/>
    </row>
    <row r="139" spans="1:8" x14ac:dyDescent="0.25">
      <c r="A139" s="74"/>
      <c r="B139" s="39" t="s">
        <v>223</v>
      </c>
      <c r="C139" s="80">
        <f>C145+C149</f>
        <v>325.56</v>
      </c>
      <c r="D139" s="80">
        <f>D145</f>
        <v>158.06</v>
      </c>
      <c r="E139" s="133"/>
    </row>
    <row r="140" spans="1:8" x14ac:dyDescent="0.25">
      <c r="A140" s="74"/>
      <c r="B140" s="35" t="s">
        <v>221</v>
      </c>
      <c r="C140" s="74"/>
      <c r="D140" s="74"/>
      <c r="E140" s="132"/>
    </row>
    <row r="141" spans="1:8" x14ac:dyDescent="0.25">
      <c r="A141" s="74"/>
      <c r="B141" s="35" t="s">
        <v>224</v>
      </c>
      <c r="C141" s="74"/>
      <c r="D141" s="74"/>
      <c r="E141" s="132"/>
    </row>
    <row r="142" spans="1:8" x14ac:dyDescent="0.25">
      <c r="A142" s="74"/>
      <c r="B142" s="35" t="s">
        <v>226</v>
      </c>
      <c r="C142" s="80"/>
      <c r="D142" s="74"/>
      <c r="E142" s="132"/>
    </row>
    <row r="143" spans="1:8" x14ac:dyDescent="0.25">
      <c r="A143" s="74"/>
      <c r="B143" s="35" t="s">
        <v>227</v>
      </c>
      <c r="C143" s="74"/>
      <c r="D143" s="74"/>
      <c r="E143" s="132"/>
    </row>
    <row r="144" spans="1:8" x14ac:dyDescent="0.25">
      <c r="A144" s="74"/>
      <c r="B144" s="35" t="s">
        <v>254</v>
      </c>
      <c r="C144" s="74"/>
      <c r="D144" s="74"/>
      <c r="E144" s="132"/>
    </row>
    <row r="145" spans="1:5" x14ac:dyDescent="0.25">
      <c r="A145" s="74"/>
      <c r="B145" s="35" t="s">
        <v>225</v>
      </c>
      <c r="C145" s="74">
        <v>199.6</v>
      </c>
      <c r="D145" s="74">
        <v>158.06</v>
      </c>
      <c r="E145" s="132"/>
    </row>
    <row r="146" spans="1:5" ht="20.399999999999999" x14ac:dyDescent="0.25">
      <c r="A146" s="74"/>
      <c r="B146" s="35" t="s">
        <v>228</v>
      </c>
      <c r="C146" s="74"/>
      <c r="D146" s="74"/>
      <c r="E146" s="132"/>
    </row>
    <row r="147" spans="1:5" x14ac:dyDescent="0.25">
      <c r="A147" s="74"/>
      <c r="B147" s="35" t="s">
        <v>229</v>
      </c>
      <c r="C147" s="74"/>
      <c r="D147" s="74"/>
      <c r="E147" s="132"/>
    </row>
    <row r="148" spans="1:5" x14ac:dyDescent="0.25">
      <c r="A148" s="74"/>
      <c r="B148" s="35" t="s">
        <v>230</v>
      </c>
      <c r="C148" s="74"/>
      <c r="D148" s="74"/>
      <c r="E148" s="132"/>
    </row>
    <row r="149" spans="1:5" x14ac:dyDescent="0.25">
      <c r="A149" s="74"/>
      <c r="B149" s="35" t="s">
        <v>231</v>
      </c>
      <c r="C149" s="74">
        <f>126.7-0.27-0.47</f>
        <v>125.96000000000001</v>
      </c>
      <c r="D149" s="74"/>
      <c r="E149" s="132"/>
    </row>
    <row r="150" spans="1:5" x14ac:dyDescent="0.25">
      <c r="A150" s="74"/>
      <c r="B150" s="35" t="s">
        <v>232</v>
      </c>
      <c r="C150" s="74"/>
      <c r="D150" s="74"/>
      <c r="E150" s="132"/>
    </row>
    <row r="151" spans="1:5" x14ac:dyDescent="0.25">
      <c r="A151" s="74"/>
      <c r="B151" s="39" t="s">
        <v>233</v>
      </c>
      <c r="C151" s="80">
        <f>C158+C156+C157</f>
        <v>92.47</v>
      </c>
      <c r="D151" s="80">
        <f>D152+D153+D154+D155+D156+D157+D158</f>
        <v>105.58</v>
      </c>
      <c r="E151" s="133"/>
    </row>
    <row r="152" spans="1:5" x14ac:dyDescent="0.25">
      <c r="A152" s="74"/>
      <c r="B152" s="35" t="s">
        <v>234</v>
      </c>
      <c r="C152" s="74"/>
      <c r="D152" s="74"/>
      <c r="E152" s="132"/>
    </row>
    <row r="153" spans="1:5" x14ac:dyDescent="0.25">
      <c r="A153" s="74"/>
      <c r="B153" s="35" t="s">
        <v>235</v>
      </c>
      <c r="C153" s="74"/>
      <c r="D153" s="74"/>
      <c r="E153" s="132"/>
    </row>
    <row r="154" spans="1:5" x14ac:dyDescent="0.25">
      <c r="A154" s="74"/>
      <c r="B154" s="35" t="s">
        <v>250</v>
      </c>
      <c r="C154" s="74"/>
      <c r="D154" s="74"/>
      <c r="E154" s="132"/>
    </row>
    <row r="155" spans="1:5" x14ac:dyDescent="0.25">
      <c r="A155" s="74"/>
      <c r="B155" s="35" t="s">
        <v>236</v>
      </c>
      <c r="C155" s="74"/>
      <c r="D155" s="74"/>
      <c r="E155" s="132"/>
    </row>
    <row r="156" spans="1:5" x14ac:dyDescent="0.25">
      <c r="A156" s="74"/>
      <c r="B156" s="35" t="s">
        <v>237</v>
      </c>
      <c r="C156" s="74">
        <v>56</v>
      </c>
      <c r="D156" s="74">
        <v>37</v>
      </c>
      <c r="E156" s="132"/>
    </row>
    <row r="157" spans="1:5" x14ac:dyDescent="0.25">
      <c r="A157" s="74"/>
      <c r="B157" s="35" t="s">
        <v>238</v>
      </c>
      <c r="C157" s="74">
        <v>30</v>
      </c>
      <c r="D157" s="74">
        <v>7</v>
      </c>
      <c r="E157" s="132"/>
    </row>
    <row r="158" spans="1:5" x14ac:dyDescent="0.25">
      <c r="A158" s="74"/>
      <c r="B158" s="35" t="s">
        <v>435</v>
      </c>
      <c r="C158" s="74">
        <v>6.47</v>
      </c>
      <c r="D158" s="74">
        <v>61.58</v>
      </c>
      <c r="E158" s="132"/>
    </row>
    <row r="159" spans="1:5" x14ac:dyDescent="0.25">
      <c r="A159" s="74"/>
      <c r="B159" s="39" t="s">
        <v>239</v>
      </c>
      <c r="C159" s="74"/>
      <c r="D159" s="74"/>
      <c r="E159" s="132"/>
    </row>
    <row r="160" spans="1:5" x14ac:dyDescent="0.25">
      <c r="A160" s="74"/>
      <c r="B160" s="39" t="s">
        <v>240</v>
      </c>
      <c r="C160" s="80">
        <v>104.3</v>
      </c>
      <c r="D160" s="80">
        <v>60</v>
      </c>
      <c r="E160" s="133"/>
    </row>
    <row r="161" spans="1:6" x14ac:dyDescent="0.25">
      <c r="A161" s="74"/>
      <c r="B161" s="35" t="s">
        <v>241</v>
      </c>
      <c r="C161" s="74"/>
      <c r="D161" s="74"/>
      <c r="E161" s="126"/>
    </row>
    <row r="162" spans="1:6" x14ac:dyDescent="0.25">
      <c r="A162" s="74"/>
      <c r="B162" s="35" t="s">
        <v>242</v>
      </c>
      <c r="C162" s="74"/>
      <c r="D162" s="74"/>
      <c r="E162" s="132"/>
    </row>
    <row r="163" spans="1:6" x14ac:dyDescent="0.25">
      <c r="A163" s="74"/>
      <c r="B163" s="35" t="s">
        <v>243</v>
      </c>
      <c r="C163" s="74"/>
      <c r="D163" s="74"/>
      <c r="E163" s="132"/>
    </row>
    <row r="164" spans="1:6" x14ac:dyDescent="0.25">
      <c r="A164" s="74"/>
      <c r="B164" s="35" t="s">
        <v>218</v>
      </c>
      <c r="C164" s="74">
        <v>104.3</v>
      </c>
      <c r="D164" s="75">
        <v>60</v>
      </c>
      <c r="E164" s="132"/>
    </row>
    <row r="165" spans="1:6" x14ac:dyDescent="0.25">
      <c r="A165" s="74"/>
      <c r="B165" s="35" t="s">
        <v>242</v>
      </c>
      <c r="C165" s="74"/>
      <c r="D165" s="74"/>
      <c r="E165" s="132"/>
    </row>
    <row r="166" spans="1:6" x14ac:dyDescent="0.25">
      <c r="A166" s="74"/>
      <c r="B166" s="35" t="s">
        <v>244</v>
      </c>
      <c r="C166" s="74"/>
      <c r="D166" s="74"/>
      <c r="E166" s="132"/>
    </row>
    <row r="167" spans="1:6" x14ac:dyDescent="0.25">
      <c r="A167" s="74"/>
      <c r="B167" s="35" t="s">
        <v>245</v>
      </c>
      <c r="C167" s="74"/>
      <c r="D167" s="74"/>
      <c r="E167" s="132"/>
    </row>
    <row r="168" spans="1:6" x14ac:dyDescent="0.25">
      <c r="A168" s="74"/>
      <c r="B168" s="35" t="s">
        <v>246</v>
      </c>
      <c r="C168" s="74"/>
      <c r="D168" s="74"/>
      <c r="E168" s="132"/>
    </row>
    <row r="169" spans="1:6" x14ac:dyDescent="0.25">
      <c r="A169" s="74"/>
      <c r="B169" s="39" t="s">
        <v>247</v>
      </c>
      <c r="C169" s="80">
        <v>106.41</v>
      </c>
      <c r="D169" s="80"/>
      <c r="E169" s="132"/>
    </row>
    <row r="170" spans="1:6" x14ac:dyDescent="0.25">
      <c r="A170" s="74"/>
      <c r="B170" s="35" t="s">
        <v>248</v>
      </c>
      <c r="C170" s="74">
        <v>106.41</v>
      </c>
      <c r="D170" s="74"/>
      <c r="E170" s="132"/>
    </row>
    <row r="171" spans="1:6" ht="17.399999999999999" customHeight="1" x14ac:dyDescent="0.25">
      <c r="A171" s="74"/>
      <c r="B171" s="39" t="s">
        <v>249</v>
      </c>
      <c r="C171" s="80">
        <f>C136+C139+C151+C160+C170</f>
        <v>628.7399999999999</v>
      </c>
      <c r="D171" s="80">
        <f>D136+D139+D151+D160+D170</f>
        <v>323.64</v>
      </c>
      <c r="E171" s="133"/>
    </row>
    <row r="173" spans="1:6" x14ac:dyDescent="0.25">
      <c r="A173" s="4" t="s">
        <v>0</v>
      </c>
      <c r="B173" s="94"/>
      <c r="C173" s="4" t="s">
        <v>282</v>
      </c>
    </row>
    <row r="175" spans="1:6" ht="18" x14ac:dyDescent="0.35">
      <c r="A175" s="214"/>
      <c r="B175" s="214"/>
      <c r="C175" s="214"/>
      <c r="D175" s="214"/>
      <c r="E175" s="214"/>
      <c r="F175" s="214"/>
    </row>
    <row r="176" spans="1:6" ht="15.6" x14ac:dyDescent="0.3">
      <c r="A176" s="45"/>
      <c r="B176" s="45"/>
      <c r="C176" s="45"/>
      <c r="D176" s="45"/>
      <c r="E176" s="45"/>
      <c r="F176" s="45"/>
    </row>
    <row r="177" spans="1:6" ht="15.6" x14ac:dyDescent="0.3">
      <c r="A177" s="45"/>
      <c r="B177" s="45"/>
      <c r="C177" s="45"/>
      <c r="D177" s="45"/>
      <c r="E177" s="45"/>
      <c r="F177" s="45"/>
    </row>
    <row r="178" spans="1:6" ht="15.6" x14ac:dyDescent="0.3">
      <c r="A178" s="45"/>
      <c r="B178" s="45"/>
      <c r="C178" s="45"/>
      <c r="D178" s="45"/>
      <c r="E178" s="45"/>
      <c r="F178" s="45"/>
    </row>
    <row r="179" spans="1:6" ht="15.6" x14ac:dyDescent="0.3">
      <c r="A179" s="343" t="s">
        <v>165</v>
      </c>
      <c r="B179" s="343"/>
      <c r="C179" s="343"/>
      <c r="D179" s="343"/>
      <c r="E179" s="343"/>
      <c r="F179" s="343"/>
    </row>
    <row r="180" spans="1:6" ht="15.6" x14ac:dyDescent="0.3">
      <c r="A180" s="45"/>
      <c r="B180" s="45"/>
      <c r="C180" s="45"/>
      <c r="D180" s="45"/>
      <c r="E180" s="45"/>
      <c r="F180" s="45"/>
    </row>
    <row r="181" spans="1:6" ht="15.6" x14ac:dyDescent="0.3">
      <c r="A181" s="45"/>
      <c r="B181" s="45"/>
      <c r="C181" s="45"/>
      <c r="D181" s="45"/>
      <c r="E181" s="45"/>
      <c r="F181" s="45"/>
    </row>
    <row r="182" spans="1:6" ht="15.6" x14ac:dyDescent="0.3">
      <c r="A182" s="45" t="s">
        <v>606</v>
      </c>
      <c r="B182" s="45"/>
      <c r="C182" s="45"/>
      <c r="D182" s="45" t="s">
        <v>607</v>
      </c>
      <c r="E182" s="46">
        <v>42097.82</v>
      </c>
      <c r="F182" s="45"/>
    </row>
    <row r="183" spans="1:6" ht="15.6" x14ac:dyDescent="0.3">
      <c r="A183" s="45" t="s">
        <v>221</v>
      </c>
      <c r="B183" s="45"/>
      <c r="C183" s="45"/>
      <c r="D183" s="45"/>
      <c r="E183" s="45"/>
      <c r="F183" s="45"/>
    </row>
    <row r="184" spans="1:6" ht="15.6" x14ac:dyDescent="0.3">
      <c r="A184" s="45" t="s">
        <v>608</v>
      </c>
      <c r="B184" s="45"/>
      <c r="C184" s="45"/>
      <c r="D184" s="45"/>
      <c r="E184" s="45">
        <v>123.62</v>
      </c>
      <c r="F184" s="45"/>
    </row>
    <row r="185" spans="1:6" ht="15.6" x14ac:dyDescent="0.3">
      <c r="A185" s="45" t="s">
        <v>609</v>
      </c>
      <c r="B185" s="45"/>
      <c r="C185" s="45"/>
      <c r="D185" s="45"/>
      <c r="E185" s="212">
        <v>44</v>
      </c>
      <c r="F185" s="45"/>
    </row>
    <row r="186" spans="1:6" ht="15.6" x14ac:dyDescent="0.3">
      <c r="A186" s="45" t="s">
        <v>610</v>
      </c>
      <c r="B186" s="45"/>
      <c r="C186" s="45"/>
      <c r="D186" s="45"/>
      <c r="E186" s="212">
        <v>1118</v>
      </c>
      <c r="F186" s="45"/>
    </row>
    <row r="187" spans="1:6" ht="15.6" x14ac:dyDescent="0.3">
      <c r="A187" s="45"/>
      <c r="B187" s="45"/>
      <c r="C187" s="45"/>
      <c r="D187" s="45"/>
      <c r="E187" s="45"/>
      <c r="F187" s="45"/>
    </row>
    <row r="188" spans="1:6" ht="15.6" x14ac:dyDescent="0.3">
      <c r="A188" s="45" t="s">
        <v>611</v>
      </c>
      <c r="B188" s="45"/>
      <c r="C188" s="45"/>
      <c r="D188" s="45"/>
      <c r="E188" s="213">
        <f>E182-E184-E185-E186</f>
        <v>40812.199999999997</v>
      </c>
      <c r="F188" s="45"/>
    </row>
    <row r="189" spans="1:6" ht="15.6" x14ac:dyDescent="0.3">
      <c r="A189" s="45" t="s">
        <v>612</v>
      </c>
      <c r="B189" s="45"/>
      <c r="C189" s="45"/>
      <c r="D189" s="45"/>
      <c r="E189" s="45">
        <v>168.32</v>
      </c>
      <c r="F189" s="45"/>
    </row>
    <row r="190" spans="1:6" ht="15.6" x14ac:dyDescent="0.3">
      <c r="A190" s="46" t="s">
        <v>613</v>
      </c>
      <c r="B190" s="46"/>
      <c r="C190" s="45"/>
      <c r="D190" s="45"/>
      <c r="E190" s="213">
        <f>E188+E189</f>
        <v>40980.519999999997</v>
      </c>
      <c r="F190" s="45"/>
    </row>
    <row r="191" spans="1:6" ht="15.6" x14ac:dyDescent="0.3">
      <c r="A191" s="45"/>
      <c r="B191" s="45"/>
      <c r="C191" s="45"/>
      <c r="D191" s="45"/>
      <c r="E191" s="45"/>
      <c r="F191" s="45"/>
    </row>
    <row r="192" spans="1:6" ht="15.6" x14ac:dyDescent="0.3">
      <c r="A192" s="45"/>
      <c r="B192" s="45"/>
      <c r="C192" s="45"/>
      <c r="D192" s="45"/>
      <c r="E192" s="45"/>
      <c r="F192" s="45"/>
    </row>
    <row r="193" spans="1:6" ht="15.6" x14ac:dyDescent="0.3">
      <c r="A193" s="4" t="s">
        <v>0</v>
      </c>
      <c r="B193" s="94"/>
      <c r="C193" s="4" t="s">
        <v>282</v>
      </c>
      <c r="D193" s="45"/>
      <c r="E193" s="45"/>
      <c r="F193" s="45"/>
    </row>
    <row r="194" spans="1:6" ht="15.6" x14ac:dyDescent="0.3">
      <c r="D194" s="45"/>
      <c r="E194" s="45"/>
      <c r="F194" s="45"/>
    </row>
    <row r="195" spans="1:6" ht="18" x14ac:dyDescent="0.35">
      <c r="A195" s="214"/>
      <c r="B195" s="214"/>
      <c r="C195" s="214"/>
      <c r="D195" s="214"/>
      <c r="E195" s="214"/>
      <c r="F195" s="214"/>
    </row>
    <row r="196" spans="1:6" ht="18" x14ac:dyDescent="0.35">
      <c r="A196" s="214"/>
      <c r="B196" s="214"/>
      <c r="C196" s="214"/>
      <c r="D196" s="214"/>
      <c r="E196" s="214"/>
      <c r="F196" s="214"/>
    </row>
  </sheetData>
  <mergeCells count="13">
    <mergeCell ref="A179:F179"/>
    <mergeCell ref="A1:C1"/>
    <mergeCell ref="A2:A3"/>
    <mergeCell ref="B2:B3"/>
    <mergeCell ref="A134:A135"/>
    <mergeCell ref="B134:B135"/>
    <mergeCell ref="A57:A58"/>
    <mergeCell ref="B57:B58"/>
    <mergeCell ref="A121:A122"/>
    <mergeCell ref="B121:B122"/>
    <mergeCell ref="D2:F2"/>
    <mergeCell ref="D57:F57"/>
    <mergeCell ref="D121:F12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topLeftCell="A40" workbookViewId="0">
      <selection activeCell="B7" sqref="B7"/>
    </sheetView>
  </sheetViews>
  <sheetFormatPr defaultColWidth="8.77734375" defaultRowHeight="14.4" outlineLevelCol="1" x14ac:dyDescent="0.3"/>
  <cols>
    <col min="1" max="1" width="6.88671875" style="3" customWidth="1"/>
    <col min="2" max="2" width="35.33203125" style="3" customWidth="1"/>
    <col min="3" max="3" width="9" style="3" hidden="1" customWidth="1" outlineLevel="1"/>
    <col min="4" max="4" width="9.21875" style="3" hidden="1" customWidth="1" outlineLevel="1"/>
    <col min="5" max="5" width="8.6640625" style="3" hidden="1" customWidth="1" outlineLevel="1"/>
    <col min="6" max="6" width="8.77734375" style="3" hidden="1" customWidth="1" outlineLevel="1"/>
    <col min="7" max="7" width="8.77734375" style="3" collapsed="1"/>
    <col min="8" max="8" width="8.77734375" style="3"/>
    <col min="9" max="9" width="9.109375" style="3" customWidth="1"/>
    <col min="10" max="10" width="9.88671875" style="3" customWidth="1"/>
    <col min="11" max="11" width="7.33203125" style="3" customWidth="1"/>
    <col min="12" max="16384" width="8.77734375" style="3"/>
  </cols>
  <sheetData>
    <row r="1" spans="1:10" ht="39.6" customHeight="1" x14ac:dyDescent="0.3">
      <c r="A1" s="228" t="s">
        <v>253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ht="25.2" customHeight="1" x14ac:dyDescent="0.3">
      <c r="A2" s="350" t="s">
        <v>614</v>
      </c>
      <c r="B2" s="350"/>
      <c r="C2" s="350"/>
      <c r="D2" s="350"/>
      <c r="J2" s="3" t="s">
        <v>151</v>
      </c>
    </row>
    <row r="3" spans="1:10" ht="27.45" customHeight="1" x14ac:dyDescent="0.3">
      <c r="A3" s="27" t="s">
        <v>210</v>
      </c>
      <c r="B3" s="27" t="s">
        <v>87</v>
      </c>
      <c r="C3" s="27" t="s">
        <v>327</v>
      </c>
      <c r="D3" s="28" t="s">
        <v>426</v>
      </c>
      <c r="E3" s="27" t="s">
        <v>323</v>
      </c>
      <c r="F3" s="28" t="s">
        <v>450</v>
      </c>
      <c r="G3" s="27" t="s">
        <v>454</v>
      </c>
      <c r="H3" s="28" t="s">
        <v>455</v>
      </c>
      <c r="I3" s="27" t="s">
        <v>530</v>
      </c>
      <c r="J3" s="28" t="s">
        <v>531</v>
      </c>
    </row>
    <row r="4" spans="1:10" x14ac:dyDescent="0.3">
      <c r="A4" s="27">
        <v>1</v>
      </c>
      <c r="B4" s="26" t="s">
        <v>211</v>
      </c>
      <c r="C4" s="27"/>
      <c r="D4" s="27"/>
      <c r="E4" s="27"/>
      <c r="F4" s="27"/>
      <c r="G4" s="27"/>
      <c r="H4" s="27"/>
      <c r="I4" s="27"/>
      <c r="J4" s="27"/>
    </row>
    <row r="5" spans="1:10" x14ac:dyDescent="0.3">
      <c r="A5" s="108" t="s">
        <v>328</v>
      </c>
      <c r="B5" s="41" t="s">
        <v>329</v>
      </c>
      <c r="C5" s="41">
        <v>2154.38</v>
      </c>
      <c r="D5" s="41">
        <f>D6+D9</f>
        <v>2589.1999999999998</v>
      </c>
      <c r="E5" s="41">
        <v>2321.08</v>
      </c>
      <c r="F5" s="41">
        <f>F6+F9</f>
        <v>5381.66</v>
      </c>
      <c r="G5" s="41">
        <v>2405.87</v>
      </c>
      <c r="H5" s="41">
        <f>H6+H9</f>
        <v>3849.54</v>
      </c>
      <c r="I5" s="41">
        <f>I6+I9</f>
        <v>4402.26</v>
      </c>
      <c r="J5" s="41">
        <f>J6+J9</f>
        <v>3394.0799999999995</v>
      </c>
    </row>
    <row r="6" spans="1:10" x14ac:dyDescent="0.3">
      <c r="A6" s="104" t="s">
        <v>330</v>
      </c>
      <c r="B6" s="28" t="s">
        <v>289</v>
      </c>
      <c r="C6" s="27">
        <v>2154.38</v>
      </c>
      <c r="D6" s="27">
        <v>2271.4499999999998</v>
      </c>
      <c r="E6" s="27">
        <v>2321.08</v>
      </c>
      <c r="F6" s="27">
        <f>F7+F8</f>
        <v>3691.38</v>
      </c>
      <c r="G6" s="27">
        <v>2405.87</v>
      </c>
      <c r="H6" s="27">
        <v>3092.23</v>
      </c>
      <c r="I6" s="27">
        <v>3907.19</v>
      </c>
      <c r="J6" s="27">
        <f>J7+J8</f>
        <v>3270.6499999999996</v>
      </c>
    </row>
    <row r="7" spans="1:10" x14ac:dyDescent="0.3">
      <c r="A7" s="104" t="s">
        <v>331</v>
      </c>
      <c r="B7" s="28" t="s">
        <v>286</v>
      </c>
      <c r="C7" s="27">
        <v>1202.6300000000001</v>
      </c>
      <c r="D7" s="27">
        <v>1600.62</v>
      </c>
      <c r="E7" s="27">
        <v>1295.69</v>
      </c>
      <c r="F7" s="27">
        <v>1590.86</v>
      </c>
      <c r="G7" s="27">
        <v>1343.02</v>
      </c>
      <c r="H7" s="27">
        <v>1744.6</v>
      </c>
      <c r="I7" s="27">
        <v>2163.62</v>
      </c>
      <c r="J7" s="27">
        <v>1847.1</v>
      </c>
    </row>
    <row r="8" spans="1:10" x14ac:dyDescent="0.3">
      <c r="A8" s="104" t="s">
        <v>332</v>
      </c>
      <c r="B8" s="28" t="s">
        <v>333</v>
      </c>
      <c r="C8" s="27">
        <v>951.75</v>
      </c>
      <c r="D8" s="27">
        <f>D6-D7</f>
        <v>670.82999999999993</v>
      </c>
      <c r="E8" s="27">
        <v>1025.3900000000001</v>
      </c>
      <c r="F8" s="27">
        <v>2100.52</v>
      </c>
      <c r="G8" s="27">
        <v>1062.8499999999999</v>
      </c>
      <c r="H8" s="27">
        <f>H6-H7</f>
        <v>1347.63</v>
      </c>
      <c r="I8" s="27">
        <v>1743.57</v>
      </c>
      <c r="J8" s="27">
        <v>1423.55</v>
      </c>
    </row>
    <row r="9" spans="1:10" ht="38.4" customHeight="1" x14ac:dyDescent="0.3">
      <c r="A9" s="104" t="s">
        <v>335</v>
      </c>
      <c r="B9" s="28" t="s">
        <v>334</v>
      </c>
      <c r="C9" s="27">
        <v>0</v>
      </c>
      <c r="D9" s="27">
        <v>317.75</v>
      </c>
      <c r="E9" s="27">
        <v>0</v>
      </c>
      <c r="F9" s="27">
        <v>1690.28</v>
      </c>
      <c r="G9" s="27">
        <v>0</v>
      </c>
      <c r="H9" s="27">
        <v>757.31</v>
      </c>
      <c r="I9" s="27">
        <v>495.07</v>
      </c>
      <c r="J9" s="27">
        <v>123.43</v>
      </c>
    </row>
    <row r="10" spans="1:10" x14ac:dyDescent="0.3">
      <c r="A10" s="107" t="s">
        <v>336</v>
      </c>
      <c r="B10" s="41" t="s">
        <v>212</v>
      </c>
      <c r="C10" s="103">
        <v>28088.3</v>
      </c>
      <c r="D10" s="41">
        <v>27380.42</v>
      </c>
      <c r="E10" s="103">
        <v>30261.72</v>
      </c>
      <c r="F10" s="41">
        <v>32421.33</v>
      </c>
      <c r="G10" s="41">
        <v>31367.18</v>
      </c>
      <c r="H10" s="41">
        <v>31067.59</v>
      </c>
      <c r="I10" s="41">
        <v>43324.76</v>
      </c>
      <c r="J10" s="41">
        <v>40980.519999999997</v>
      </c>
    </row>
    <row r="11" spans="1:10" ht="22.8" customHeight="1" x14ac:dyDescent="0.3">
      <c r="A11" s="107" t="s">
        <v>337</v>
      </c>
      <c r="B11" s="41" t="s">
        <v>213</v>
      </c>
      <c r="C11" s="41">
        <v>3620.23</v>
      </c>
      <c r="D11" s="41">
        <f>D12+D13</f>
        <v>4853.1200000000008</v>
      </c>
      <c r="E11" s="41">
        <v>3900.35</v>
      </c>
      <c r="F11" s="41">
        <f>F12+F13</f>
        <v>4806.1900000000005</v>
      </c>
      <c r="G11" s="41">
        <v>4042.83</v>
      </c>
      <c r="H11" s="41">
        <f>H12+H13</f>
        <v>3624.6000000000004</v>
      </c>
      <c r="I11" s="41">
        <v>6150.77</v>
      </c>
      <c r="J11" s="41">
        <f>J12+J13</f>
        <v>4304.74</v>
      </c>
    </row>
    <row r="12" spans="1:10" x14ac:dyDescent="0.3">
      <c r="A12" s="109" t="s">
        <v>338</v>
      </c>
      <c r="B12" s="28" t="s">
        <v>339</v>
      </c>
      <c r="C12" s="99">
        <v>2057.3000000000002</v>
      </c>
      <c r="D12" s="27">
        <v>2051.5500000000002</v>
      </c>
      <c r="E12" s="99">
        <v>2216.44</v>
      </c>
      <c r="F12" s="27">
        <v>1846.34</v>
      </c>
      <c r="G12" s="27">
        <v>2297.41</v>
      </c>
      <c r="H12" s="27">
        <v>968.28</v>
      </c>
      <c r="I12" s="27">
        <v>3284.31</v>
      </c>
      <c r="J12" s="27">
        <v>1396.73</v>
      </c>
    </row>
    <row r="13" spans="1:10" ht="28.8" x14ac:dyDescent="0.3">
      <c r="A13" s="109" t="s">
        <v>340</v>
      </c>
      <c r="B13" s="28" t="s">
        <v>341</v>
      </c>
      <c r="C13" s="27">
        <v>1562.97</v>
      </c>
      <c r="D13" s="27">
        <v>2801.57</v>
      </c>
      <c r="E13" s="27">
        <v>1683.91</v>
      </c>
      <c r="F13" s="27">
        <f>F14+F15+F16+F17+F18+F19+F20+F21+F22+F23+F25+F26+F24+F27+F28+F29</f>
        <v>2959.8500000000004</v>
      </c>
      <c r="G13" s="27">
        <v>1745.43</v>
      </c>
      <c r="H13" s="27">
        <f>H14+H15+H16+H17+H18+H19+H20+H21+H22+H23+H25+H26+H24+H27+H28+H29</f>
        <v>2656.32</v>
      </c>
      <c r="I13" s="27">
        <v>2866.46</v>
      </c>
      <c r="J13" s="27">
        <f>J14+J15+J16+J17+J18+J19+J20+J21+J22+J23+J25+J26+J24+J27+J28+J29</f>
        <v>2908.0099999999993</v>
      </c>
    </row>
    <row r="14" spans="1:10" x14ac:dyDescent="0.3">
      <c r="A14" s="104" t="s">
        <v>342</v>
      </c>
      <c r="B14" s="27" t="s">
        <v>94</v>
      </c>
      <c r="C14" s="27">
        <v>213.65</v>
      </c>
      <c r="D14" s="27">
        <v>391.9</v>
      </c>
      <c r="E14" s="27">
        <v>230.18</v>
      </c>
      <c r="F14" s="27">
        <v>389.29</v>
      </c>
      <c r="G14" s="27">
        <v>238.59</v>
      </c>
      <c r="H14" s="27">
        <v>398.87</v>
      </c>
      <c r="I14" s="27">
        <v>364.46</v>
      </c>
      <c r="J14" s="27">
        <v>383.84</v>
      </c>
    </row>
    <row r="15" spans="1:10" ht="28.8" x14ac:dyDescent="0.3">
      <c r="A15" s="105" t="s">
        <v>356</v>
      </c>
      <c r="B15" s="28" t="s">
        <v>343</v>
      </c>
      <c r="C15" s="99">
        <v>207.9</v>
      </c>
      <c r="D15" s="27">
        <v>208.9</v>
      </c>
      <c r="E15" s="99">
        <v>223.99</v>
      </c>
      <c r="F15" s="27">
        <v>211.3</v>
      </c>
      <c r="G15" s="27">
        <v>232.17</v>
      </c>
      <c r="H15" s="27">
        <v>232.89</v>
      </c>
      <c r="I15" s="27">
        <v>195.18</v>
      </c>
      <c r="J15" s="27">
        <v>198.32</v>
      </c>
    </row>
    <row r="16" spans="1:10" ht="28.8" customHeight="1" x14ac:dyDescent="0.3">
      <c r="A16" s="105" t="s">
        <v>357</v>
      </c>
      <c r="B16" s="28" t="s">
        <v>344</v>
      </c>
      <c r="C16" s="27">
        <v>68.66</v>
      </c>
      <c r="D16" s="27">
        <v>59.98</v>
      </c>
      <c r="E16" s="27">
        <v>73.97</v>
      </c>
      <c r="F16" s="27">
        <f>29.64+9.3+11.4</f>
        <v>50.339999999999996</v>
      </c>
      <c r="G16" s="27">
        <v>76.67</v>
      </c>
      <c r="H16" s="27">
        <f>9.41+13.34+25.24</f>
        <v>47.989999999999995</v>
      </c>
      <c r="I16" s="27">
        <v>57.8</v>
      </c>
      <c r="J16" s="27">
        <f>11.29+13.18+31.69</f>
        <v>56.16</v>
      </c>
    </row>
    <row r="17" spans="1:10" ht="16.5" customHeight="1" x14ac:dyDescent="0.3">
      <c r="A17" s="105" t="s">
        <v>358</v>
      </c>
      <c r="B17" s="28" t="s">
        <v>345</v>
      </c>
      <c r="C17" s="99">
        <v>125</v>
      </c>
      <c r="D17" s="27">
        <v>66</v>
      </c>
      <c r="E17" s="99">
        <v>134.66999999999999</v>
      </c>
      <c r="F17" s="27"/>
      <c r="G17" s="27">
        <v>139.59</v>
      </c>
      <c r="H17" s="27"/>
      <c r="I17" s="27"/>
      <c r="J17" s="27"/>
    </row>
    <row r="18" spans="1:10" ht="16.5" customHeight="1" x14ac:dyDescent="0.3">
      <c r="A18" s="105" t="s">
        <v>359</v>
      </c>
      <c r="B18" s="28" t="s">
        <v>306</v>
      </c>
      <c r="C18" s="27">
        <v>245.18</v>
      </c>
      <c r="D18" s="27">
        <v>325.2</v>
      </c>
      <c r="E18" s="27">
        <v>264.14999999999998</v>
      </c>
      <c r="F18" s="27">
        <v>411.23</v>
      </c>
      <c r="G18" s="27">
        <v>273.8</v>
      </c>
      <c r="H18" s="27">
        <v>357.95</v>
      </c>
      <c r="I18" s="27">
        <v>434.54</v>
      </c>
      <c r="J18" s="27">
        <v>490.96</v>
      </c>
    </row>
    <row r="19" spans="1:10" x14ac:dyDescent="0.3">
      <c r="A19" s="105" t="s">
        <v>360</v>
      </c>
      <c r="B19" s="28" t="s">
        <v>346</v>
      </c>
      <c r="C19" s="27">
        <v>0</v>
      </c>
      <c r="D19" s="27">
        <v>32.630000000000003</v>
      </c>
      <c r="E19" s="27">
        <v>0</v>
      </c>
      <c r="F19" s="27"/>
      <c r="G19" s="27"/>
      <c r="H19" s="27"/>
      <c r="I19" s="27"/>
      <c r="J19" s="27"/>
    </row>
    <row r="20" spans="1:10" x14ac:dyDescent="0.3">
      <c r="A20" s="105" t="s">
        <v>361</v>
      </c>
      <c r="B20" s="28" t="s">
        <v>347</v>
      </c>
      <c r="C20" s="27">
        <v>0</v>
      </c>
      <c r="D20" s="27"/>
      <c r="E20" s="27">
        <v>0</v>
      </c>
      <c r="F20" s="27"/>
      <c r="G20" s="27"/>
      <c r="H20" s="27"/>
      <c r="I20" s="27"/>
      <c r="J20" s="27"/>
    </row>
    <row r="21" spans="1:10" x14ac:dyDescent="0.3">
      <c r="A21" s="105" t="s">
        <v>362</v>
      </c>
      <c r="B21" s="28" t="s">
        <v>348</v>
      </c>
      <c r="C21" s="27">
        <v>0</v>
      </c>
      <c r="D21" s="27"/>
      <c r="E21" s="27">
        <v>0</v>
      </c>
      <c r="F21" s="27"/>
      <c r="G21" s="27"/>
      <c r="H21" s="27"/>
      <c r="I21" s="27"/>
      <c r="J21" s="99">
        <v>199</v>
      </c>
    </row>
    <row r="22" spans="1:10" x14ac:dyDescent="0.3">
      <c r="A22" s="105" t="s">
        <v>363</v>
      </c>
      <c r="B22" s="28" t="s">
        <v>349</v>
      </c>
      <c r="C22" s="27">
        <v>0</v>
      </c>
      <c r="D22" s="27"/>
      <c r="E22" s="27">
        <v>0</v>
      </c>
      <c r="F22" s="27"/>
      <c r="G22" s="27"/>
      <c r="H22" s="27"/>
      <c r="I22" s="27"/>
      <c r="J22" s="27"/>
    </row>
    <row r="23" spans="1:10" ht="27" customHeight="1" x14ac:dyDescent="0.3">
      <c r="A23" s="105" t="s">
        <v>364</v>
      </c>
      <c r="B23" s="71" t="s">
        <v>351</v>
      </c>
      <c r="C23" s="27">
        <v>0</v>
      </c>
      <c r="D23" s="27"/>
      <c r="E23" s="27">
        <v>0</v>
      </c>
      <c r="F23" s="27"/>
      <c r="G23" s="27"/>
      <c r="H23" s="27"/>
      <c r="I23" s="27"/>
      <c r="J23" s="27"/>
    </row>
    <row r="24" spans="1:10" ht="28.8" x14ac:dyDescent="0.3">
      <c r="A24" s="105" t="s">
        <v>365</v>
      </c>
      <c r="B24" s="28" t="s">
        <v>350</v>
      </c>
      <c r="C24" s="27">
        <v>129.13999999999999</v>
      </c>
      <c r="D24" s="27">
        <v>544.87</v>
      </c>
      <c r="E24" s="27">
        <v>139.13</v>
      </c>
      <c r="F24" s="27">
        <f>160.13+63.53</f>
        <v>223.66</v>
      </c>
      <c r="G24" s="27">
        <v>144.21</v>
      </c>
      <c r="H24" s="27">
        <v>282.33</v>
      </c>
      <c r="I24" s="27">
        <v>395.03</v>
      </c>
      <c r="J24" s="27">
        <v>444.58</v>
      </c>
    </row>
    <row r="25" spans="1:10" x14ac:dyDescent="0.3">
      <c r="A25" s="105" t="s">
        <v>366</v>
      </c>
      <c r="B25" s="100" t="s">
        <v>352</v>
      </c>
      <c r="C25" s="27">
        <v>126</v>
      </c>
      <c r="D25" s="27">
        <v>250.1</v>
      </c>
      <c r="E25" s="27">
        <v>135.75</v>
      </c>
      <c r="F25" s="27">
        <v>223.03</v>
      </c>
      <c r="G25" s="27">
        <v>140.71</v>
      </c>
      <c r="H25" s="27">
        <v>74</v>
      </c>
      <c r="I25" s="27">
        <v>192.61</v>
      </c>
      <c r="J25" s="27">
        <v>132.65</v>
      </c>
    </row>
    <row r="26" spans="1:10" x14ac:dyDescent="0.3">
      <c r="A26" s="105" t="s">
        <v>367</v>
      </c>
      <c r="B26" s="100" t="s">
        <v>353</v>
      </c>
      <c r="C26" s="27">
        <v>40</v>
      </c>
      <c r="D26" s="27">
        <v>51.63</v>
      </c>
      <c r="E26" s="27">
        <v>43.1</v>
      </c>
      <c r="F26" s="27">
        <v>56.39</v>
      </c>
      <c r="G26" s="27">
        <v>44.67</v>
      </c>
      <c r="H26" s="27">
        <v>54.75</v>
      </c>
      <c r="I26" s="27">
        <v>52.41</v>
      </c>
      <c r="J26" s="27">
        <v>59.37</v>
      </c>
    </row>
    <row r="27" spans="1:10" x14ac:dyDescent="0.3">
      <c r="A27" s="105" t="s">
        <v>368</v>
      </c>
      <c r="B27" s="28" t="s">
        <v>354</v>
      </c>
      <c r="C27" s="27">
        <v>0</v>
      </c>
      <c r="D27" s="27"/>
      <c r="E27" s="27">
        <v>0</v>
      </c>
      <c r="F27" s="27"/>
      <c r="G27" s="27"/>
      <c r="H27" s="27"/>
      <c r="I27" s="27"/>
      <c r="J27" s="27"/>
    </row>
    <row r="28" spans="1:10" ht="13.95" customHeight="1" x14ac:dyDescent="0.3">
      <c r="A28" s="105" t="s">
        <v>369</v>
      </c>
      <c r="B28" s="28" t="s">
        <v>355</v>
      </c>
      <c r="C28" s="27">
        <v>0</v>
      </c>
      <c r="D28" s="27"/>
      <c r="E28" s="27">
        <v>0</v>
      </c>
      <c r="F28" s="27"/>
      <c r="G28" s="27"/>
      <c r="H28" s="27"/>
      <c r="I28" s="27"/>
      <c r="J28" s="27"/>
    </row>
    <row r="29" spans="1:10" ht="13.95" customHeight="1" x14ac:dyDescent="0.3">
      <c r="A29" s="105" t="s">
        <v>370</v>
      </c>
      <c r="B29" s="28" t="s">
        <v>214</v>
      </c>
      <c r="C29" s="29">
        <v>407.45</v>
      </c>
      <c r="D29" s="27">
        <v>870.36</v>
      </c>
      <c r="E29" s="125">
        <v>438.98</v>
      </c>
      <c r="F29" s="27">
        <v>1394.61</v>
      </c>
      <c r="G29" s="27">
        <v>455.02</v>
      </c>
      <c r="H29" s="27">
        <f>2744.38-1536.84</f>
        <v>1207.5400000000002</v>
      </c>
      <c r="I29" s="27">
        <v>1174.43</v>
      </c>
      <c r="J29" s="99">
        <f>4001.66-1153.02-J14-J15-J16-J18-J24-J25-J21</f>
        <v>943.12999999999965</v>
      </c>
    </row>
    <row r="30" spans="1:10" ht="13.95" customHeight="1" x14ac:dyDescent="0.3">
      <c r="A30" s="110" t="s">
        <v>281</v>
      </c>
      <c r="B30" s="112" t="s">
        <v>371</v>
      </c>
      <c r="C30" s="103">
        <v>53.4</v>
      </c>
      <c r="D30" s="41">
        <v>51.2</v>
      </c>
      <c r="E30" s="103">
        <v>57.5</v>
      </c>
      <c r="F30" s="103">
        <f>F31+F34</f>
        <v>54.839999999999996</v>
      </c>
      <c r="G30" s="41">
        <v>59.6</v>
      </c>
      <c r="H30" s="41">
        <f>H31</f>
        <v>55.8</v>
      </c>
      <c r="I30" s="41">
        <v>96.69</v>
      </c>
      <c r="J30" s="41">
        <f>J31</f>
        <v>60</v>
      </c>
    </row>
    <row r="31" spans="1:10" ht="13.95" customHeight="1" x14ac:dyDescent="0.3">
      <c r="A31" s="105" t="s">
        <v>376</v>
      </c>
      <c r="B31" s="28" t="s">
        <v>372</v>
      </c>
      <c r="C31" s="99">
        <v>53.4</v>
      </c>
      <c r="D31" s="27">
        <v>51.2</v>
      </c>
      <c r="E31" s="99">
        <v>57.5</v>
      </c>
      <c r="F31" s="99">
        <v>49.3</v>
      </c>
      <c r="G31" s="27">
        <v>59.6</v>
      </c>
      <c r="H31" s="27">
        <v>55.8</v>
      </c>
      <c r="I31" s="27">
        <v>96.69</v>
      </c>
      <c r="J31" s="27">
        <v>60</v>
      </c>
    </row>
    <row r="32" spans="1:10" ht="13.95" customHeight="1" x14ac:dyDescent="0.3">
      <c r="A32" s="105" t="s">
        <v>377</v>
      </c>
      <c r="B32" s="28" t="s">
        <v>373</v>
      </c>
      <c r="C32" s="99">
        <v>0</v>
      </c>
      <c r="D32" s="27"/>
      <c r="E32" s="99">
        <v>0</v>
      </c>
      <c r="F32" s="27"/>
      <c r="G32" s="27"/>
      <c r="H32" s="27"/>
      <c r="I32" s="27"/>
      <c r="J32" s="27"/>
    </row>
    <row r="33" spans="1:14" ht="24.6" customHeight="1" x14ac:dyDescent="0.3">
      <c r="A33" s="105" t="s">
        <v>378</v>
      </c>
      <c r="B33" s="28" t="s">
        <v>374</v>
      </c>
      <c r="C33" s="99">
        <v>0</v>
      </c>
      <c r="D33" s="27"/>
      <c r="E33" s="99">
        <v>0</v>
      </c>
      <c r="F33" s="27"/>
      <c r="G33" s="27"/>
      <c r="H33" s="27"/>
      <c r="I33" s="27"/>
      <c r="J33" s="27"/>
    </row>
    <row r="34" spans="1:14" ht="16.2" customHeight="1" x14ac:dyDescent="0.3">
      <c r="A34" s="105" t="s">
        <v>379</v>
      </c>
      <c r="B34" s="28" t="s">
        <v>375</v>
      </c>
      <c r="C34" s="99">
        <v>0</v>
      </c>
      <c r="D34" s="27"/>
      <c r="E34" s="99">
        <v>0</v>
      </c>
      <c r="F34" s="27">
        <v>5.54</v>
      </c>
      <c r="G34" s="27"/>
      <c r="H34" s="27"/>
      <c r="I34" s="27"/>
      <c r="J34" s="27"/>
    </row>
    <row r="35" spans="1:14" ht="30.6" customHeight="1" x14ac:dyDescent="0.3">
      <c r="A35" s="111" t="s">
        <v>380</v>
      </c>
      <c r="B35" s="112" t="s">
        <v>381</v>
      </c>
      <c r="C35" s="103">
        <v>142.22999999999999</v>
      </c>
      <c r="D35" s="41">
        <v>68.400000000000006</v>
      </c>
      <c r="E35" s="103">
        <v>153.22999999999999</v>
      </c>
      <c r="F35" s="41">
        <v>43</v>
      </c>
      <c r="G35" s="41">
        <v>158.83000000000001</v>
      </c>
      <c r="H35" s="41">
        <f>H37+H39</f>
        <v>287.87</v>
      </c>
      <c r="I35" s="41">
        <v>425.64</v>
      </c>
      <c r="J35" s="41">
        <f>J37+J39</f>
        <v>263.64</v>
      </c>
    </row>
    <row r="36" spans="1:14" x14ac:dyDescent="0.3">
      <c r="A36" s="105" t="s">
        <v>386</v>
      </c>
      <c r="B36" s="28" t="s">
        <v>382</v>
      </c>
      <c r="C36" s="99">
        <v>0</v>
      </c>
      <c r="D36" s="27"/>
      <c r="E36" s="99">
        <v>0</v>
      </c>
      <c r="F36" s="27"/>
      <c r="G36" s="27"/>
      <c r="H36" s="27"/>
      <c r="I36" s="27"/>
      <c r="J36" s="27"/>
    </row>
    <row r="37" spans="1:14" ht="22.8" customHeight="1" x14ac:dyDescent="0.3">
      <c r="A37" s="105" t="s">
        <v>387</v>
      </c>
      <c r="B37" s="71" t="s">
        <v>383</v>
      </c>
      <c r="C37" s="99">
        <v>142.22999999999999</v>
      </c>
      <c r="D37" s="27">
        <v>68.400000000000006</v>
      </c>
      <c r="E37" s="99">
        <v>153.22999999999999</v>
      </c>
      <c r="F37" s="27">
        <v>43</v>
      </c>
      <c r="G37" s="27">
        <v>158.83000000000001</v>
      </c>
      <c r="H37" s="27">
        <v>114.55</v>
      </c>
      <c r="I37" s="27">
        <v>425.64</v>
      </c>
      <c r="J37" s="27">
        <f>158.06+105.58</f>
        <v>263.64</v>
      </c>
    </row>
    <row r="38" spans="1:14" ht="16.05" customHeight="1" x14ac:dyDescent="0.3">
      <c r="A38" s="105" t="s">
        <v>388</v>
      </c>
      <c r="B38" s="28" t="s">
        <v>384</v>
      </c>
      <c r="C38" s="99">
        <v>0</v>
      </c>
      <c r="D38" s="27"/>
      <c r="E38" s="99">
        <v>0</v>
      </c>
      <c r="F38" s="27"/>
      <c r="G38" s="27"/>
      <c r="H38" s="27"/>
      <c r="I38" s="27"/>
      <c r="J38" s="27"/>
    </row>
    <row r="39" spans="1:14" x14ac:dyDescent="0.3">
      <c r="A39" s="105" t="s">
        <v>389</v>
      </c>
      <c r="B39" s="28" t="s">
        <v>570</v>
      </c>
      <c r="C39" s="99">
        <v>0</v>
      </c>
      <c r="D39" s="27"/>
      <c r="E39" s="99">
        <v>0</v>
      </c>
      <c r="F39" s="27"/>
      <c r="G39" s="27"/>
      <c r="H39" s="27">
        <v>173.32</v>
      </c>
      <c r="I39" s="27"/>
      <c r="J39" s="27"/>
      <c r="K39" s="37"/>
      <c r="L39" s="37"/>
      <c r="M39" s="37"/>
      <c r="N39" s="37"/>
    </row>
    <row r="40" spans="1:14" ht="27" x14ac:dyDescent="0.3">
      <c r="A40" s="105"/>
      <c r="B40" s="34" t="s">
        <v>215</v>
      </c>
      <c r="C40" s="103">
        <f t="shared" ref="C40:G40" si="0">C5+C10+C11+C30+C35</f>
        <v>34058.540000000008</v>
      </c>
      <c r="D40" s="103">
        <f t="shared" si="0"/>
        <v>34942.339999999997</v>
      </c>
      <c r="E40" s="103">
        <f t="shared" si="0"/>
        <v>36693.880000000005</v>
      </c>
      <c r="F40" s="103">
        <f t="shared" si="0"/>
        <v>42707.020000000004</v>
      </c>
      <c r="G40" s="103">
        <f t="shared" si="0"/>
        <v>38034.310000000005</v>
      </c>
      <c r="H40" s="103">
        <f>H5+H10+H11+H30+H35</f>
        <v>38885.4</v>
      </c>
      <c r="I40" s="103">
        <f t="shared" ref="I40:J40" si="1">I5+I10+I11+I30+I35</f>
        <v>54400.12000000001</v>
      </c>
      <c r="J40" s="103">
        <f t="shared" si="1"/>
        <v>49002.979999999996</v>
      </c>
      <c r="K40" s="37"/>
      <c r="L40" s="37"/>
      <c r="M40" s="37"/>
      <c r="N40" s="37"/>
    </row>
    <row r="41" spans="1:14" x14ac:dyDescent="0.3">
      <c r="A41" s="106"/>
      <c r="B41" s="101"/>
      <c r="C41" s="101"/>
      <c r="D41" s="101"/>
      <c r="E41" s="102"/>
      <c r="I41" s="37"/>
      <c r="J41" s="37"/>
      <c r="K41" s="37"/>
      <c r="L41" s="37"/>
      <c r="M41" s="37"/>
      <c r="N41" s="37"/>
    </row>
    <row r="42" spans="1:14" x14ac:dyDescent="0.3">
      <c r="A42" s="106"/>
      <c r="B42" s="101"/>
      <c r="C42" s="101"/>
      <c r="D42" s="101"/>
      <c r="E42" s="102"/>
    </row>
    <row r="43" spans="1:14" ht="28.95" customHeight="1" x14ac:dyDescent="0.3">
      <c r="A43" s="105"/>
      <c r="B43" s="113" t="s">
        <v>216</v>
      </c>
      <c r="C43" s="27" t="s">
        <v>327</v>
      </c>
      <c r="D43" s="28" t="s">
        <v>426</v>
      </c>
      <c r="E43" s="27" t="s">
        <v>323</v>
      </c>
      <c r="F43" s="28" t="s">
        <v>450</v>
      </c>
      <c r="G43" s="27" t="s">
        <v>454</v>
      </c>
      <c r="H43" s="28" t="s">
        <v>455</v>
      </c>
      <c r="I43" s="27" t="s">
        <v>530</v>
      </c>
      <c r="J43" s="28" t="s">
        <v>531</v>
      </c>
    </row>
    <row r="44" spans="1:14" x14ac:dyDescent="0.3">
      <c r="A44" s="27" t="s">
        <v>210</v>
      </c>
      <c r="B44" s="27" t="s">
        <v>87</v>
      </c>
      <c r="C44" s="27"/>
      <c r="D44" s="27"/>
      <c r="E44" s="27"/>
      <c r="F44" s="27"/>
      <c r="G44" s="27"/>
      <c r="H44" s="27"/>
      <c r="I44" s="27"/>
      <c r="J44" s="27"/>
    </row>
    <row r="45" spans="1:14" x14ac:dyDescent="0.3">
      <c r="A45" s="105" t="s">
        <v>390</v>
      </c>
      <c r="B45" s="114" t="s">
        <v>391</v>
      </c>
      <c r="C45" s="27">
        <v>5528.72</v>
      </c>
      <c r="D45" s="27">
        <v>9074.0499999999993</v>
      </c>
      <c r="E45" s="27">
        <v>9557.8700000000008</v>
      </c>
      <c r="F45" s="27">
        <v>9197.2800000000007</v>
      </c>
      <c r="G45" s="27">
        <v>9531.9500000000007</v>
      </c>
      <c r="H45" s="27">
        <v>10583.75</v>
      </c>
      <c r="I45" s="27">
        <v>8878.5499999999993</v>
      </c>
      <c r="J45" s="27">
        <v>9943.2800000000007</v>
      </c>
    </row>
    <row r="46" spans="1:14" x14ac:dyDescent="0.3">
      <c r="A46" s="105" t="s">
        <v>392</v>
      </c>
      <c r="B46" s="28" t="s">
        <v>393</v>
      </c>
      <c r="C46" s="27">
        <v>0</v>
      </c>
      <c r="D46" s="27"/>
      <c r="E46" s="27">
        <v>0</v>
      </c>
      <c r="F46" s="27">
        <v>37.01</v>
      </c>
      <c r="G46" s="27">
        <v>64.2</v>
      </c>
      <c r="H46" s="27">
        <v>46.56</v>
      </c>
      <c r="I46" s="27">
        <v>50.09</v>
      </c>
      <c r="J46" s="27">
        <v>44.7</v>
      </c>
    </row>
    <row r="47" spans="1:14" s="37" customFormat="1" x14ac:dyDescent="0.3">
      <c r="A47" s="105" t="s">
        <v>396</v>
      </c>
      <c r="B47" s="28" t="s">
        <v>394</v>
      </c>
      <c r="C47" s="27">
        <v>136.43</v>
      </c>
      <c r="D47" s="27">
        <v>180.35</v>
      </c>
      <c r="E47" s="27">
        <v>203.25</v>
      </c>
      <c r="F47" s="27">
        <v>192.07</v>
      </c>
      <c r="G47" s="27">
        <v>201.81</v>
      </c>
      <c r="H47" s="27">
        <v>180.76</v>
      </c>
      <c r="I47" s="27">
        <v>204.11</v>
      </c>
      <c r="J47" s="27">
        <v>197.54</v>
      </c>
      <c r="K47" s="3"/>
      <c r="L47" s="3"/>
      <c r="M47" s="3"/>
      <c r="N47" s="3"/>
    </row>
    <row r="48" spans="1:14" s="37" customFormat="1" x14ac:dyDescent="0.3">
      <c r="A48" s="105" t="s">
        <v>397</v>
      </c>
      <c r="B48" s="28" t="s">
        <v>540</v>
      </c>
      <c r="C48" s="27">
        <v>0</v>
      </c>
      <c r="D48" s="27"/>
      <c r="E48" s="27">
        <v>0</v>
      </c>
      <c r="F48" s="27"/>
      <c r="G48" s="27"/>
      <c r="H48" s="27"/>
      <c r="I48" s="27">
        <v>1153.02</v>
      </c>
      <c r="J48" s="27">
        <v>1153.02</v>
      </c>
      <c r="K48" s="3"/>
      <c r="L48" s="3"/>
      <c r="M48" s="3"/>
      <c r="N48" s="3"/>
    </row>
    <row r="49" spans="1:14" s="37" customFormat="1" x14ac:dyDescent="0.3">
      <c r="A49" s="105" t="s">
        <v>398</v>
      </c>
      <c r="B49" s="28" t="s">
        <v>399</v>
      </c>
      <c r="C49" s="27">
        <v>3034.88</v>
      </c>
      <c r="D49" s="27">
        <v>1959.36</v>
      </c>
      <c r="E49" s="27">
        <f>E51+E52+E53</f>
        <v>3545.38</v>
      </c>
      <c r="F49" s="27">
        <f>F51+F52+F53</f>
        <v>2932.9300000000003</v>
      </c>
      <c r="G49" s="27">
        <f t="shared" ref="G49:H49" si="2">G51+G52+G53</f>
        <v>3545.43</v>
      </c>
      <c r="H49" s="27">
        <f t="shared" si="2"/>
        <v>2844</v>
      </c>
      <c r="I49" s="27">
        <v>2932.96</v>
      </c>
      <c r="J49" s="27">
        <f>J51+J52+J53</f>
        <v>2716.18</v>
      </c>
      <c r="K49" s="3"/>
      <c r="L49" s="3"/>
      <c r="M49" s="3"/>
      <c r="N49" s="3"/>
    </row>
    <row r="50" spans="1:14" s="37" customFormat="1" x14ac:dyDescent="0.3">
      <c r="A50" s="105" t="s">
        <v>402</v>
      </c>
      <c r="B50" s="28" t="s">
        <v>400</v>
      </c>
      <c r="C50" s="27">
        <v>0</v>
      </c>
      <c r="D50" s="27"/>
      <c r="E50" s="27">
        <v>0</v>
      </c>
      <c r="F50" s="27"/>
      <c r="G50" s="27"/>
      <c r="H50" s="27"/>
      <c r="I50" s="27"/>
      <c r="J50" s="27"/>
      <c r="K50" s="3"/>
      <c r="L50" s="3"/>
      <c r="M50" s="3"/>
      <c r="N50" s="3"/>
    </row>
    <row r="51" spans="1:14" s="37" customFormat="1" x14ac:dyDescent="0.3">
      <c r="A51" s="105" t="s">
        <v>403</v>
      </c>
      <c r="B51" s="28" t="s">
        <v>303</v>
      </c>
      <c r="C51" s="27">
        <v>39.71</v>
      </c>
      <c r="D51" s="27">
        <v>44.93</v>
      </c>
      <c r="E51" s="27">
        <v>45.55</v>
      </c>
      <c r="F51" s="27">
        <v>46.9</v>
      </c>
      <c r="G51" s="27">
        <v>45.6</v>
      </c>
      <c r="H51" s="27">
        <v>52.57</v>
      </c>
      <c r="I51" s="27">
        <v>46.93</v>
      </c>
      <c r="J51" s="27">
        <v>52.91</v>
      </c>
      <c r="K51" s="3"/>
      <c r="L51" s="3"/>
      <c r="M51" s="3"/>
      <c r="N51" s="3"/>
    </row>
    <row r="52" spans="1:14" x14ac:dyDescent="0.3">
      <c r="A52" s="105" t="s">
        <v>404</v>
      </c>
      <c r="B52" s="28" t="s">
        <v>401</v>
      </c>
      <c r="C52" s="27">
        <v>0</v>
      </c>
      <c r="D52" s="27">
        <v>33.1</v>
      </c>
      <c r="E52" s="27">
        <v>19.100000000000001</v>
      </c>
      <c r="F52" s="27">
        <v>18.63</v>
      </c>
      <c r="G52" s="27">
        <v>19.100000000000001</v>
      </c>
      <c r="H52" s="27">
        <v>19.43</v>
      </c>
      <c r="I52" s="27">
        <v>18.63</v>
      </c>
      <c r="J52" s="27">
        <v>9.3000000000000007</v>
      </c>
    </row>
    <row r="53" spans="1:14" x14ac:dyDescent="0.3">
      <c r="A53" s="105" t="s">
        <v>405</v>
      </c>
      <c r="B53" s="28" t="s">
        <v>304</v>
      </c>
      <c r="C53" s="27">
        <v>2995.17</v>
      </c>
      <c r="D53" s="27">
        <v>1881.33</v>
      </c>
      <c r="E53" s="27">
        <v>3480.73</v>
      </c>
      <c r="F53" s="27">
        <v>2867.4</v>
      </c>
      <c r="G53" s="27">
        <v>3480.73</v>
      </c>
      <c r="H53" s="27">
        <v>2772</v>
      </c>
      <c r="I53" s="27">
        <v>2867.4</v>
      </c>
      <c r="J53" s="27">
        <v>2653.97</v>
      </c>
    </row>
    <row r="54" spans="1:14" ht="28.8" x14ac:dyDescent="0.3">
      <c r="A54" s="105" t="s">
        <v>406</v>
      </c>
      <c r="B54" s="28" t="s">
        <v>407</v>
      </c>
      <c r="C54" s="27">
        <v>8538.84</v>
      </c>
      <c r="D54" s="27">
        <v>7794</v>
      </c>
      <c r="E54" s="27">
        <v>9199.56</v>
      </c>
      <c r="F54" s="27">
        <v>9289.61</v>
      </c>
      <c r="G54" s="27">
        <v>9535.6200000000008</v>
      </c>
      <c r="H54" s="27">
        <v>9444.5499999999993</v>
      </c>
      <c r="I54" s="27">
        <v>13170.73</v>
      </c>
      <c r="J54" s="27">
        <v>11925.51</v>
      </c>
    </row>
    <row r="55" spans="1:14" ht="28.8" x14ac:dyDescent="0.3">
      <c r="A55" s="105" t="s">
        <v>408</v>
      </c>
      <c r="B55" s="28" t="s">
        <v>217</v>
      </c>
      <c r="C55" s="27"/>
      <c r="D55" s="27"/>
      <c r="E55" s="27"/>
      <c r="F55" s="27"/>
      <c r="G55" s="27"/>
      <c r="H55" s="27"/>
      <c r="I55" s="27"/>
      <c r="J55" s="27"/>
    </row>
    <row r="56" spans="1:14" x14ac:dyDescent="0.3">
      <c r="A56" s="105" t="s">
        <v>415</v>
      </c>
      <c r="B56" s="28" t="s">
        <v>409</v>
      </c>
      <c r="C56" s="27">
        <v>35.6</v>
      </c>
      <c r="D56" s="27"/>
      <c r="E56" s="27">
        <v>1540.51</v>
      </c>
      <c r="F56" s="27"/>
      <c r="G56" s="27">
        <v>1705.66</v>
      </c>
      <c r="H56" s="27"/>
      <c r="I56" s="27">
        <v>106.41</v>
      </c>
      <c r="J56" s="27"/>
    </row>
    <row r="57" spans="1:14" ht="28.8" x14ac:dyDescent="0.3">
      <c r="A57" s="105" t="s">
        <v>416</v>
      </c>
      <c r="B57" s="28" t="s">
        <v>427</v>
      </c>
      <c r="C57" s="27">
        <v>1755.42</v>
      </c>
      <c r="D57" s="27"/>
      <c r="E57" s="27">
        <v>1849.82</v>
      </c>
      <c r="F57" s="27"/>
      <c r="G57" s="27"/>
      <c r="H57" s="27"/>
      <c r="I57" s="27"/>
      <c r="J57" s="27"/>
    </row>
    <row r="58" spans="1:14" x14ac:dyDescent="0.3">
      <c r="A58" s="105" t="s">
        <v>417</v>
      </c>
      <c r="B58" s="28" t="s">
        <v>410</v>
      </c>
      <c r="C58" s="27">
        <v>10947.46</v>
      </c>
      <c r="D58" s="27">
        <v>4680</v>
      </c>
      <c r="E58" s="27">
        <v>10947.46</v>
      </c>
      <c r="F58" s="27">
        <v>5891.47</v>
      </c>
      <c r="G58" s="27">
        <v>10947.46</v>
      </c>
      <c r="H58" s="27">
        <v>787.46</v>
      </c>
      <c r="I58" s="27">
        <v>5891.47</v>
      </c>
      <c r="J58" s="27">
        <v>5884.69</v>
      </c>
    </row>
    <row r="59" spans="1:14" ht="28.8" x14ac:dyDescent="0.3">
      <c r="A59" s="105" t="s">
        <v>418</v>
      </c>
      <c r="B59" s="28" t="s">
        <v>411</v>
      </c>
      <c r="C59" s="27">
        <v>0</v>
      </c>
      <c r="D59" s="27"/>
      <c r="E59" s="27">
        <v>0</v>
      </c>
      <c r="F59" s="27"/>
      <c r="G59" s="27"/>
      <c r="H59" s="27"/>
      <c r="I59" s="27"/>
      <c r="J59" s="27"/>
    </row>
    <row r="60" spans="1:14" ht="28.8" x14ac:dyDescent="0.3">
      <c r="A60" s="105" t="s">
        <v>419</v>
      </c>
      <c r="B60" s="28" t="s">
        <v>412</v>
      </c>
      <c r="C60" s="27">
        <v>10947.46</v>
      </c>
      <c r="D60" s="27">
        <v>4680</v>
      </c>
      <c r="E60" s="27">
        <v>10947.46</v>
      </c>
      <c r="F60" s="27">
        <v>5891.47</v>
      </c>
      <c r="G60" s="27">
        <v>10947.46</v>
      </c>
      <c r="H60" s="27">
        <v>787.46</v>
      </c>
      <c r="I60" s="27">
        <v>5891.47</v>
      </c>
      <c r="J60" s="27">
        <v>5884.69</v>
      </c>
    </row>
    <row r="61" spans="1:14" x14ac:dyDescent="0.3">
      <c r="A61" s="105" t="s">
        <v>420</v>
      </c>
      <c r="B61" s="28" t="s">
        <v>413</v>
      </c>
      <c r="C61" s="27">
        <v>0</v>
      </c>
      <c r="D61" s="27"/>
      <c r="E61" s="27">
        <v>0</v>
      </c>
      <c r="F61" s="27"/>
      <c r="G61" s="27"/>
      <c r="H61" s="27"/>
      <c r="I61" s="27"/>
      <c r="J61" s="27"/>
    </row>
    <row r="62" spans="1:14" x14ac:dyDescent="0.3">
      <c r="A62" s="105" t="s">
        <v>421</v>
      </c>
      <c r="B62" s="28" t="s">
        <v>414</v>
      </c>
      <c r="C62" s="27">
        <v>0</v>
      </c>
      <c r="D62" s="27"/>
      <c r="E62" s="27">
        <v>6008.8</v>
      </c>
      <c r="F62" s="27"/>
      <c r="G62" s="27">
        <v>6663.8</v>
      </c>
      <c r="H62" s="27"/>
      <c r="I62" s="27"/>
      <c r="J62" s="27"/>
    </row>
    <row r="63" spans="1:14" ht="27" x14ac:dyDescent="0.3">
      <c r="A63" s="105"/>
      <c r="B63" s="34" t="s">
        <v>219</v>
      </c>
      <c r="C63" s="41">
        <f>C45+C46+C47+C48+C49+C54+C56+C57+C58+C61+C62</f>
        <v>29977.35</v>
      </c>
      <c r="D63" s="41">
        <f>D45+D46+D47+D48+D49+D54+D56+D57+D58+D61+D62</f>
        <v>23687.760000000002</v>
      </c>
      <c r="E63" s="41">
        <f>E45+E46+E47+E48+E49+E54+E56+E57+E58+E61+E62</f>
        <v>42852.649999999994</v>
      </c>
      <c r="F63" s="41">
        <f>F45+F46+F47+F48+F49+F54+F56+F57+F58+F61+F62</f>
        <v>27540.370000000003</v>
      </c>
      <c r="G63" s="41">
        <f t="shared" ref="G63:H63" si="3">G45+G46+G47+G48+G49+G54+G56+G57+G58+G61+G62</f>
        <v>42195.930000000008</v>
      </c>
      <c r="H63" s="41">
        <f t="shared" si="3"/>
        <v>23887.079999999998</v>
      </c>
      <c r="I63" s="41">
        <f t="shared" ref="I63:J63" si="4">I45+I46+I47+I48+I49+I54+I56+I57+I58+I61+I62</f>
        <v>32387.34</v>
      </c>
      <c r="J63" s="41">
        <f t="shared" si="4"/>
        <v>31864.920000000002</v>
      </c>
      <c r="K63" s="37"/>
      <c r="L63" s="37"/>
      <c r="M63" s="37"/>
      <c r="N63" s="37"/>
    </row>
    <row r="64" spans="1:14" x14ac:dyDescent="0.3">
      <c r="A64" s="106"/>
      <c r="B64" s="101"/>
      <c r="C64" s="101"/>
      <c r="D64" s="101"/>
      <c r="E64" s="69"/>
      <c r="I64" s="37"/>
      <c r="J64" s="37"/>
      <c r="K64" s="37"/>
      <c r="L64" s="37"/>
      <c r="M64" s="37"/>
      <c r="N64" s="37"/>
    </row>
    <row r="65" spans="1:14" x14ac:dyDescent="0.3">
      <c r="A65" s="348" t="s">
        <v>422</v>
      </c>
      <c r="B65" s="349"/>
      <c r="C65" s="349"/>
      <c r="D65" s="349"/>
      <c r="E65" s="349"/>
    </row>
    <row r="66" spans="1:14" ht="43.2" x14ac:dyDescent="0.3">
      <c r="A66" s="105" t="s">
        <v>423</v>
      </c>
      <c r="B66" s="28" t="s">
        <v>422</v>
      </c>
      <c r="C66" s="27">
        <v>696.75</v>
      </c>
      <c r="D66" s="27"/>
      <c r="E66" s="27"/>
      <c r="F66" s="27">
        <v>10676.78</v>
      </c>
      <c r="G66" s="27">
        <v>-4436.53</v>
      </c>
      <c r="H66" s="27"/>
      <c r="I66" s="27">
        <v>-12121.79</v>
      </c>
      <c r="J66" s="27"/>
    </row>
    <row r="67" spans="1:14" ht="43.2" x14ac:dyDescent="0.3">
      <c r="A67" s="105" t="s">
        <v>424</v>
      </c>
      <c r="B67" s="28" t="s">
        <v>461</v>
      </c>
      <c r="C67" s="27"/>
      <c r="D67" s="27"/>
      <c r="E67" s="27"/>
      <c r="F67" s="27"/>
      <c r="G67" s="27">
        <v>-1941.98</v>
      </c>
      <c r="H67" s="27"/>
      <c r="I67" s="27"/>
      <c r="J67" s="27"/>
    </row>
    <row r="68" spans="1:14" ht="31.2" x14ac:dyDescent="0.3">
      <c r="A68" s="105" t="s">
        <v>452</v>
      </c>
      <c r="B68" s="115" t="s">
        <v>425</v>
      </c>
      <c r="C68" s="103">
        <f>C40+C63+C66</f>
        <v>64732.640000000007</v>
      </c>
      <c r="D68" s="103">
        <f>D40+D63+D66</f>
        <v>58630.1</v>
      </c>
      <c r="E68" s="103">
        <f>E40+E63+E66</f>
        <v>79546.53</v>
      </c>
      <c r="F68" s="103">
        <f>F40+F63+F66</f>
        <v>80924.170000000013</v>
      </c>
      <c r="G68" s="103">
        <f>G63+G40+G66+G67</f>
        <v>73851.730000000025</v>
      </c>
      <c r="H68" s="103">
        <f>H63+H40+H66+H67</f>
        <v>62772.479999999996</v>
      </c>
      <c r="I68" s="103">
        <f>I63+I40+I66+I67</f>
        <v>74665.670000000013</v>
      </c>
      <c r="J68" s="103">
        <f>J63+J40+J66+J67</f>
        <v>80867.899999999994</v>
      </c>
    </row>
    <row r="70" spans="1:14" ht="12" customHeight="1" x14ac:dyDescent="0.3"/>
    <row r="71" spans="1:14" ht="15" customHeight="1" x14ac:dyDescent="0.3">
      <c r="A71" s="45" t="s">
        <v>0</v>
      </c>
      <c r="B71" s="165"/>
      <c r="D71" s="45"/>
      <c r="H71" s="45" t="s">
        <v>282</v>
      </c>
    </row>
    <row r="75" spans="1:14" s="37" customFormat="1" x14ac:dyDescent="0.3">
      <c r="A75" s="3"/>
      <c r="B75" s="3"/>
      <c r="C75" s="3"/>
      <c r="D75" s="3"/>
      <c r="E75" s="3"/>
      <c r="I75" s="3"/>
      <c r="J75" s="3"/>
      <c r="K75" s="3"/>
      <c r="L75" s="3"/>
      <c r="M75" s="3"/>
      <c r="N75" s="3"/>
    </row>
    <row r="76" spans="1:14" s="37" customFormat="1" ht="27.45" customHeight="1" x14ac:dyDescent="0.3">
      <c r="A76" s="3"/>
      <c r="B76" s="3"/>
      <c r="C76" s="3"/>
      <c r="D76" s="3"/>
      <c r="E76" s="3"/>
      <c r="I76" s="3"/>
      <c r="J76" s="3"/>
      <c r="K76" s="3"/>
      <c r="L76" s="3"/>
      <c r="M76" s="3"/>
      <c r="N76" s="3"/>
    </row>
  </sheetData>
  <mergeCells count="3">
    <mergeCell ref="A65:E65"/>
    <mergeCell ref="A1:J1"/>
    <mergeCell ref="A2:D2"/>
  </mergeCells>
  <pageMargins left="0.51181102362204722" right="0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E16" sqref="A1:E16"/>
    </sheetView>
  </sheetViews>
  <sheetFormatPr defaultRowHeight="14.4" x14ac:dyDescent="0.3"/>
  <cols>
    <col min="1" max="1" width="4.88671875" style="3" customWidth="1"/>
    <col min="2" max="2" width="44" style="3" customWidth="1"/>
    <col min="3" max="3" width="11.33203125" style="3" customWidth="1"/>
    <col min="4" max="4" width="10.5546875" style="3" customWidth="1"/>
    <col min="5" max="5" width="16.21875" style="3" customWidth="1"/>
    <col min="6" max="16384" width="8.88671875" style="3"/>
  </cols>
  <sheetData>
    <row r="1" spans="1:5" ht="18" x14ac:dyDescent="0.35">
      <c r="A1" s="233" t="s">
        <v>451</v>
      </c>
      <c r="B1" s="233"/>
      <c r="C1" s="233"/>
      <c r="D1" s="233"/>
      <c r="E1" s="233"/>
    </row>
    <row r="2" spans="1:5" ht="15.6" x14ac:dyDescent="0.3">
      <c r="A2" s="231" t="s">
        <v>595</v>
      </c>
      <c r="B2" s="231"/>
      <c r="C2" s="231"/>
      <c r="D2" s="231"/>
      <c r="E2" s="231"/>
    </row>
    <row r="3" spans="1:5" ht="18" x14ac:dyDescent="0.35">
      <c r="A3" s="231" t="s">
        <v>482</v>
      </c>
      <c r="B3" s="231"/>
      <c r="C3" s="231"/>
      <c r="D3" s="231"/>
      <c r="E3" s="231"/>
    </row>
    <row r="4" spans="1:5" ht="15.6" x14ac:dyDescent="0.3">
      <c r="A4" s="232" t="s">
        <v>619</v>
      </c>
      <c r="B4" s="232"/>
      <c r="C4" s="232"/>
      <c r="D4" s="232"/>
      <c r="E4" s="232"/>
    </row>
    <row r="5" spans="1:5" ht="15.6" x14ac:dyDescent="0.3">
      <c r="A5" s="219"/>
      <c r="B5" s="219" t="s">
        <v>617</v>
      </c>
      <c r="C5" s="219"/>
      <c r="D5" s="219"/>
      <c r="E5" s="219" t="s">
        <v>107</v>
      </c>
    </row>
    <row r="6" spans="1:5" ht="57.6" x14ac:dyDescent="0.3">
      <c r="A6" s="27" t="s">
        <v>9</v>
      </c>
      <c r="B6" s="27" t="s">
        <v>475</v>
      </c>
      <c r="C6" s="28" t="s">
        <v>476</v>
      </c>
      <c r="D6" s="28" t="s">
        <v>477</v>
      </c>
      <c r="E6" s="28" t="s">
        <v>478</v>
      </c>
    </row>
    <row r="7" spans="1:5" ht="43.2" x14ac:dyDescent="0.3">
      <c r="A7" s="27">
        <v>1</v>
      </c>
      <c r="B7" s="28" t="s">
        <v>618</v>
      </c>
      <c r="C7" s="27">
        <v>85378.6</v>
      </c>
      <c r="D7" s="27">
        <v>55</v>
      </c>
      <c r="E7" s="99">
        <f>C7*D7</f>
        <v>4695823</v>
      </c>
    </row>
    <row r="8" spans="1:5" ht="34.799999999999997" customHeight="1" x14ac:dyDescent="0.3">
      <c r="A8" s="27">
        <v>3</v>
      </c>
      <c r="B8" s="28" t="s">
        <v>479</v>
      </c>
      <c r="C8" s="27">
        <v>20633.12</v>
      </c>
      <c r="D8" s="27">
        <v>93</v>
      </c>
      <c r="E8" s="99">
        <f t="shared" ref="E8:E10" si="0">C8*D8</f>
        <v>1918880.16</v>
      </c>
    </row>
    <row r="9" spans="1:5" ht="28.2" customHeight="1" x14ac:dyDescent="0.3">
      <c r="A9" s="27">
        <v>4</v>
      </c>
      <c r="B9" s="28" t="s">
        <v>480</v>
      </c>
      <c r="C9" s="27">
        <v>15714.88</v>
      </c>
      <c r="D9" s="27">
        <v>92</v>
      </c>
      <c r="E9" s="99">
        <f t="shared" si="0"/>
        <v>1445768.96</v>
      </c>
    </row>
    <row r="10" spans="1:5" ht="43.2" x14ac:dyDescent="0.3">
      <c r="A10" s="27">
        <v>5</v>
      </c>
      <c r="B10" s="28" t="s">
        <v>481</v>
      </c>
      <c r="C10" s="27">
        <v>28956.799999999999</v>
      </c>
      <c r="D10" s="27"/>
      <c r="E10" s="99">
        <f t="shared" si="0"/>
        <v>0</v>
      </c>
    </row>
    <row r="11" spans="1:5" ht="24.6" customHeight="1" x14ac:dyDescent="0.3">
      <c r="A11" s="27"/>
      <c r="B11" s="41" t="s">
        <v>278</v>
      </c>
      <c r="C11" s="27"/>
      <c r="D11" s="27"/>
      <c r="E11" s="41">
        <f>SUM(E7:E10)</f>
        <v>8060472.1200000001</v>
      </c>
    </row>
    <row r="14" spans="1:5" x14ac:dyDescent="0.3">
      <c r="B14" s="3" t="s">
        <v>0</v>
      </c>
      <c r="C14" s="3" t="s">
        <v>282</v>
      </c>
    </row>
    <row r="21" spans="1:5" ht="18" x14ac:dyDescent="0.35">
      <c r="A21" s="233" t="s">
        <v>451</v>
      </c>
      <c r="B21" s="233"/>
      <c r="C21" s="233"/>
      <c r="D21" s="233"/>
      <c r="E21" s="233"/>
    </row>
    <row r="22" spans="1:5" ht="15.6" x14ac:dyDescent="0.3">
      <c r="A22" s="231" t="s">
        <v>595</v>
      </c>
      <c r="B22" s="231"/>
      <c r="C22" s="231"/>
      <c r="D22" s="231"/>
      <c r="E22" s="231"/>
    </row>
    <row r="23" spans="1:5" ht="18" x14ac:dyDescent="0.35">
      <c r="A23" s="231" t="s">
        <v>482</v>
      </c>
      <c r="B23" s="231"/>
      <c r="C23" s="231"/>
      <c r="D23" s="231"/>
      <c r="E23" s="231"/>
    </row>
    <row r="24" spans="1:5" ht="15.6" x14ac:dyDescent="0.3">
      <c r="A24" s="232" t="s">
        <v>90</v>
      </c>
      <c r="B24" s="232"/>
      <c r="C24" s="232"/>
      <c r="D24" s="232"/>
      <c r="E24" s="232"/>
    </row>
    <row r="25" spans="1:5" ht="15.6" x14ac:dyDescent="0.3">
      <c r="A25" s="219"/>
      <c r="B25" s="219" t="s">
        <v>620</v>
      </c>
      <c r="C25" s="219"/>
      <c r="D25" s="219"/>
      <c r="E25" s="219" t="s">
        <v>107</v>
      </c>
    </row>
    <row r="26" spans="1:5" ht="57.6" x14ac:dyDescent="0.3">
      <c r="A26" s="27" t="s">
        <v>9</v>
      </c>
      <c r="B26" s="27" t="s">
        <v>475</v>
      </c>
      <c r="C26" s="28" t="s">
        <v>476</v>
      </c>
      <c r="D26" s="28" t="s">
        <v>477</v>
      </c>
      <c r="E26" s="28" t="s">
        <v>478</v>
      </c>
    </row>
    <row r="27" spans="1:5" ht="43.2" x14ac:dyDescent="0.3">
      <c r="A27" s="27">
        <v>1</v>
      </c>
      <c r="B27" s="28" t="s">
        <v>618</v>
      </c>
      <c r="C27" s="27">
        <v>85378.6</v>
      </c>
      <c r="D27" s="27">
        <v>85</v>
      </c>
      <c r="E27" s="99">
        <f>C27*D27</f>
        <v>7257181.0000000009</v>
      </c>
    </row>
    <row r="28" spans="1:5" ht="43.2" x14ac:dyDescent="0.3">
      <c r="A28" s="27">
        <v>3</v>
      </c>
      <c r="B28" s="28" t="s">
        <v>479</v>
      </c>
      <c r="C28" s="27">
        <v>20633.12</v>
      </c>
      <c r="D28" s="27">
        <v>1306</v>
      </c>
      <c r="E28" s="99">
        <f t="shared" ref="E28:E30" si="1">C28*D28</f>
        <v>26946854.719999999</v>
      </c>
    </row>
    <row r="29" spans="1:5" ht="28.8" x14ac:dyDescent="0.3">
      <c r="A29" s="27">
        <v>4</v>
      </c>
      <c r="B29" s="28" t="s">
        <v>480</v>
      </c>
      <c r="C29" s="27">
        <v>15714.88</v>
      </c>
      <c r="D29" s="27">
        <v>1306</v>
      </c>
      <c r="E29" s="99">
        <f t="shared" si="1"/>
        <v>20523633.279999997</v>
      </c>
    </row>
    <row r="30" spans="1:5" ht="43.2" x14ac:dyDescent="0.3">
      <c r="A30" s="27">
        <v>5</v>
      </c>
      <c r="B30" s="28" t="s">
        <v>481</v>
      </c>
      <c r="C30" s="27">
        <v>28956.799999999999</v>
      </c>
      <c r="D30" s="27">
        <v>255</v>
      </c>
      <c r="E30" s="99">
        <f t="shared" si="1"/>
        <v>7383984</v>
      </c>
    </row>
    <row r="31" spans="1:5" x14ac:dyDescent="0.3">
      <c r="A31" s="27"/>
      <c r="B31" s="41" t="s">
        <v>278</v>
      </c>
      <c r="C31" s="27"/>
      <c r="D31" s="27"/>
      <c r="E31" s="103">
        <f>SUM(E27:E30)</f>
        <v>62111653</v>
      </c>
    </row>
    <row r="32" spans="1:5" x14ac:dyDescent="0.3">
      <c r="A32" s="37"/>
      <c r="B32" s="69"/>
      <c r="C32" s="37"/>
      <c r="D32" s="37"/>
      <c r="E32" s="220"/>
    </row>
    <row r="33" spans="1:5" x14ac:dyDescent="0.3">
      <c r="A33" s="37"/>
      <c r="B33" s="69" t="s">
        <v>621</v>
      </c>
      <c r="C33" s="37"/>
      <c r="D33" s="221"/>
      <c r="E33" s="221">
        <v>62111653</v>
      </c>
    </row>
    <row r="34" spans="1:5" x14ac:dyDescent="0.3">
      <c r="A34" s="37"/>
      <c r="B34" s="69" t="s">
        <v>624</v>
      </c>
      <c r="C34" s="37"/>
      <c r="D34" s="222"/>
      <c r="E34" s="222">
        <v>20703884</v>
      </c>
    </row>
    <row r="35" spans="1:5" x14ac:dyDescent="0.3">
      <c r="A35" s="37"/>
      <c r="B35" s="69" t="s">
        <v>622</v>
      </c>
      <c r="C35" s="37"/>
      <c r="D35" s="221"/>
      <c r="E35" s="221">
        <v>20703884</v>
      </c>
    </row>
    <row r="36" spans="1:5" x14ac:dyDescent="0.3">
      <c r="A36" s="37"/>
      <c r="B36" s="69" t="s">
        <v>623</v>
      </c>
      <c r="C36" s="37"/>
      <c r="D36" s="221"/>
      <c r="E36" s="221">
        <v>20703885</v>
      </c>
    </row>
    <row r="39" spans="1:5" x14ac:dyDescent="0.3">
      <c r="B39" s="3" t="s">
        <v>0</v>
      </c>
      <c r="C39" s="3" t="s">
        <v>282</v>
      </c>
    </row>
  </sheetData>
  <mergeCells count="8">
    <mergeCell ref="A22:E22"/>
    <mergeCell ref="A23:E23"/>
    <mergeCell ref="A24:E24"/>
    <mergeCell ref="A1:E1"/>
    <mergeCell ref="A2:E2"/>
    <mergeCell ref="A3:E3"/>
    <mergeCell ref="A4:E4"/>
    <mergeCell ref="A21:E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13" workbookViewId="0">
      <selection sqref="A1:XFD1048576"/>
    </sheetView>
  </sheetViews>
  <sheetFormatPr defaultColWidth="9.109375" defaultRowHeight="13.2" x14ac:dyDescent="0.25"/>
  <cols>
    <col min="1" max="1" width="19.6640625" style="197" customWidth="1"/>
    <col min="2" max="2" width="9.33203125" style="199" customWidth="1"/>
    <col min="3" max="3" width="7.5546875" style="199" customWidth="1"/>
    <col min="4" max="4" width="8.6640625" style="199" customWidth="1"/>
    <col min="5" max="5" width="8" style="199" customWidth="1"/>
    <col min="6" max="6" width="8.109375" style="199" customWidth="1"/>
    <col min="7" max="7" width="8.6640625" style="199" customWidth="1"/>
    <col min="8" max="8" width="8.5546875" style="199" customWidth="1"/>
    <col min="9" max="9" width="7.88671875" style="199" customWidth="1"/>
    <col min="10" max="10" width="7.44140625" style="199" customWidth="1"/>
    <col min="11" max="11" width="9.109375" style="199" customWidth="1"/>
    <col min="12" max="12" width="8.88671875" style="199" customWidth="1"/>
    <col min="13" max="13" width="8" style="199" customWidth="1"/>
    <col min="14" max="15" width="8.44140625" style="199" customWidth="1"/>
    <col min="16" max="16" width="9.33203125" style="199" customWidth="1"/>
    <col min="17" max="17" width="6.88671875" style="199" customWidth="1"/>
    <col min="18" max="18" width="9.5546875" style="199" customWidth="1"/>
    <col min="19" max="19" width="7" style="197" customWidth="1"/>
    <col min="20" max="16384" width="9.109375" style="197"/>
  </cols>
  <sheetData>
    <row r="1" spans="1:23" ht="26.4" customHeight="1" x14ac:dyDescent="0.25">
      <c r="A1" s="286" t="s">
        <v>492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23" ht="22.95" customHeight="1" thickBot="1" x14ac:dyDescent="0.3">
      <c r="A2" s="198"/>
      <c r="B2" s="288" t="s">
        <v>483</v>
      </c>
      <c r="C2" s="288"/>
      <c r="D2" s="288" t="s">
        <v>484</v>
      </c>
      <c r="E2" s="288"/>
      <c r="F2" s="288" t="s">
        <v>485</v>
      </c>
      <c r="G2" s="288"/>
      <c r="H2" s="288" t="s">
        <v>486</v>
      </c>
      <c r="I2" s="288"/>
      <c r="J2" s="288" t="s">
        <v>487</v>
      </c>
      <c r="K2" s="288"/>
      <c r="L2" s="288" t="s">
        <v>488</v>
      </c>
      <c r="M2" s="288"/>
      <c r="N2" s="288" t="s">
        <v>489</v>
      </c>
      <c r="O2" s="288"/>
      <c r="P2" s="288" t="s">
        <v>490</v>
      </c>
      <c r="Q2" s="288"/>
      <c r="R2" s="288" t="s">
        <v>88</v>
      </c>
      <c r="S2" s="288"/>
    </row>
    <row r="3" spans="1:23" s="199" customFormat="1" ht="32.25" customHeight="1" x14ac:dyDescent="0.25">
      <c r="A3" s="279" t="s">
        <v>586</v>
      </c>
      <c r="B3" s="276" t="s">
        <v>587</v>
      </c>
      <c r="C3" s="277"/>
      <c r="D3" s="276" t="s">
        <v>587</v>
      </c>
      <c r="E3" s="277"/>
      <c r="F3" s="276" t="s">
        <v>587</v>
      </c>
      <c r="G3" s="277"/>
      <c r="H3" s="276" t="s">
        <v>587</v>
      </c>
      <c r="I3" s="277"/>
      <c r="J3" s="276" t="s">
        <v>587</v>
      </c>
      <c r="K3" s="277"/>
      <c r="L3" s="276" t="s">
        <v>587</v>
      </c>
      <c r="M3" s="277"/>
      <c r="N3" s="276" t="s">
        <v>587</v>
      </c>
      <c r="O3" s="277"/>
      <c r="P3" s="276" t="s">
        <v>587</v>
      </c>
      <c r="Q3" s="277"/>
      <c r="R3" s="276" t="s">
        <v>587</v>
      </c>
      <c r="S3" s="278"/>
    </row>
    <row r="4" spans="1:23" s="199" customFormat="1" ht="27.75" customHeight="1" x14ac:dyDescent="0.25">
      <c r="A4" s="289"/>
      <c r="B4" s="265">
        <f>189+580+1</f>
        <v>770</v>
      </c>
      <c r="C4" s="266"/>
      <c r="D4" s="265">
        <v>692</v>
      </c>
      <c r="E4" s="266"/>
      <c r="F4" s="265">
        <v>73</v>
      </c>
      <c r="G4" s="266"/>
      <c r="H4" s="265">
        <v>1</v>
      </c>
      <c r="I4" s="266"/>
      <c r="J4" s="265">
        <v>170</v>
      </c>
      <c r="K4" s="266"/>
      <c r="L4" s="265">
        <v>646</v>
      </c>
      <c r="M4" s="266"/>
      <c r="N4" s="265">
        <v>278</v>
      </c>
      <c r="O4" s="266"/>
      <c r="P4" s="265">
        <v>167</v>
      </c>
      <c r="Q4" s="266"/>
      <c r="R4" s="265">
        <f>P4+N4+L4+J4+H4+F4+D4+B4</f>
        <v>2797</v>
      </c>
      <c r="S4" s="269"/>
    </row>
    <row r="5" spans="1:23" s="199" customFormat="1" ht="31.5" customHeight="1" x14ac:dyDescent="0.25">
      <c r="A5" s="289"/>
      <c r="B5" s="262" t="s">
        <v>588</v>
      </c>
      <c r="C5" s="263"/>
      <c r="D5" s="262" t="s">
        <v>588</v>
      </c>
      <c r="E5" s="263"/>
      <c r="F5" s="262" t="s">
        <v>588</v>
      </c>
      <c r="G5" s="263"/>
      <c r="H5" s="262" t="s">
        <v>588</v>
      </c>
      <c r="I5" s="263"/>
      <c r="J5" s="262" t="s">
        <v>588</v>
      </c>
      <c r="K5" s="263"/>
      <c r="L5" s="262" t="s">
        <v>588</v>
      </c>
      <c r="M5" s="263"/>
      <c r="N5" s="262" t="s">
        <v>588</v>
      </c>
      <c r="O5" s="263"/>
      <c r="P5" s="262" t="s">
        <v>588</v>
      </c>
      <c r="Q5" s="263"/>
      <c r="R5" s="262" t="s">
        <v>588</v>
      </c>
      <c r="S5" s="264"/>
    </row>
    <row r="6" spans="1:23" s="199" customFormat="1" ht="16.2" customHeight="1" thickBot="1" x14ac:dyDescent="0.3">
      <c r="A6" s="290"/>
      <c r="B6" s="270">
        <v>15</v>
      </c>
      <c r="C6" s="282"/>
      <c r="D6" s="270">
        <v>3</v>
      </c>
      <c r="E6" s="282"/>
      <c r="F6" s="270">
        <v>0</v>
      </c>
      <c r="G6" s="282"/>
      <c r="H6" s="270">
        <v>1</v>
      </c>
      <c r="I6" s="282"/>
      <c r="J6" s="270">
        <v>44</v>
      </c>
      <c r="K6" s="282"/>
      <c r="L6" s="283">
        <v>95</v>
      </c>
      <c r="M6" s="284"/>
      <c r="N6" s="283">
        <v>22</v>
      </c>
      <c r="O6" s="284"/>
      <c r="P6" s="283">
        <v>5</v>
      </c>
      <c r="Q6" s="284"/>
      <c r="R6" s="270">
        <f>P6+N6+L6+J6+H6+F6+D6+B6</f>
        <v>185</v>
      </c>
      <c r="S6" s="271"/>
    </row>
    <row r="7" spans="1:23" s="199" customFormat="1" ht="38.25" customHeight="1" x14ac:dyDescent="0.25">
      <c r="A7" s="279" t="s">
        <v>589</v>
      </c>
      <c r="B7" s="276" t="s">
        <v>587</v>
      </c>
      <c r="C7" s="277"/>
      <c r="D7" s="276" t="s">
        <v>587</v>
      </c>
      <c r="E7" s="277"/>
      <c r="F7" s="276" t="s">
        <v>587</v>
      </c>
      <c r="G7" s="277"/>
      <c r="H7" s="276" t="s">
        <v>587</v>
      </c>
      <c r="I7" s="277"/>
      <c r="J7" s="276" t="s">
        <v>587</v>
      </c>
      <c r="K7" s="277"/>
      <c r="L7" s="276" t="s">
        <v>587</v>
      </c>
      <c r="M7" s="277"/>
      <c r="N7" s="276" t="s">
        <v>587</v>
      </c>
      <c r="O7" s="277"/>
      <c r="P7" s="276" t="s">
        <v>587</v>
      </c>
      <c r="Q7" s="277"/>
      <c r="R7" s="276" t="s">
        <v>587</v>
      </c>
      <c r="S7" s="278"/>
    </row>
    <row r="8" spans="1:23" s="199" customFormat="1" x14ac:dyDescent="0.25">
      <c r="A8" s="280"/>
      <c r="B8" s="265">
        <f>72+96</f>
        <v>168</v>
      </c>
      <c r="C8" s="266"/>
      <c r="D8" s="265">
        <f>3+7</f>
        <v>10</v>
      </c>
      <c r="E8" s="266"/>
      <c r="F8" s="265">
        <v>5</v>
      </c>
      <c r="G8" s="266"/>
      <c r="H8" s="265">
        <v>0</v>
      </c>
      <c r="I8" s="266"/>
      <c r="J8" s="265">
        <v>50</v>
      </c>
      <c r="K8" s="266"/>
      <c r="L8" s="267">
        <v>18</v>
      </c>
      <c r="M8" s="268"/>
      <c r="N8" s="267">
        <v>1</v>
      </c>
      <c r="O8" s="268"/>
      <c r="P8" s="267">
        <v>3</v>
      </c>
      <c r="Q8" s="268"/>
      <c r="R8" s="265">
        <f>P8+N8+L8+J8+H8+F8+D8+B8</f>
        <v>255</v>
      </c>
      <c r="S8" s="269"/>
    </row>
    <row r="9" spans="1:23" s="199" customFormat="1" ht="31.5" customHeight="1" x14ac:dyDescent="0.25">
      <c r="A9" s="280"/>
      <c r="B9" s="262" t="s">
        <v>588</v>
      </c>
      <c r="C9" s="263"/>
      <c r="D9" s="262" t="s">
        <v>588</v>
      </c>
      <c r="E9" s="263"/>
      <c r="F9" s="262" t="s">
        <v>588</v>
      </c>
      <c r="G9" s="263"/>
      <c r="H9" s="262" t="s">
        <v>588</v>
      </c>
      <c r="I9" s="263"/>
      <c r="J9" s="262" t="s">
        <v>588</v>
      </c>
      <c r="K9" s="263"/>
      <c r="L9" s="262" t="s">
        <v>588</v>
      </c>
      <c r="M9" s="263"/>
      <c r="N9" s="262" t="s">
        <v>588</v>
      </c>
      <c r="O9" s="263"/>
      <c r="P9" s="262" t="s">
        <v>588</v>
      </c>
      <c r="Q9" s="263"/>
      <c r="R9" s="262" t="s">
        <v>588</v>
      </c>
      <c r="S9" s="264"/>
      <c r="W9" s="200"/>
    </row>
    <row r="10" spans="1:23" s="201" customFormat="1" ht="16.2" customHeight="1" thickBot="1" x14ac:dyDescent="0.35">
      <c r="A10" s="281"/>
      <c r="B10" s="258">
        <v>0</v>
      </c>
      <c r="C10" s="259"/>
      <c r="D10" s="258">
        <v>0</v>
      </c>
      <c r="E10" s="259"/>
      <c r="F10" s="258">
        <v>0</v>
      </c>
      <c r="G10" s="259"/>
      <c r="H10" s="258">
        <v>0</v>
      </c>
      <c r="I10" s="259"/>
      <c r="J10" s="258">
        <v>0</v>
      </c>
      <c r="K10" s="259"/>
      <c r="L10" s="258">
        <v>0</v>
      </c>
      <c r="M10" s="259"/>
      <c r="N10" s="258">
        <v>0</v>
      </c>
      <c r="O10" s="259"/>
      <c r="P10" s="258">
        <v>0</v>
      </c>
      <c r="Q10" s="259"/>
      <c r="R10" s="270">
        <f t="shared" ref="R10:R23" si="0">P10+N10+L10+J10+H10+F10+D10+B10</f>
        <v>0</v>
      </c>
      <c r="S10" s="271"/>
      <c r="W10" s="202"/>
    </row>
    <row r="11" spans="1:23" s="201" customFormat="1" ht="32.25" customHeight="1" x14ac:dyDescent="0.3">
      <c r="A11" s="272" t="s">
        <v>590</v>
      </c>
      <c r="B11" s="253" t="s">
        <v>587</v>
      </c>
      <c r="C11" s="253"/>
      <c r="D11" s="253" t="s">
        <v>587</v>
      </c>
      <c r="E11" s="253"/>
      <c r="F11" s="253" t="s">
        <v>587</v>
      </c>
      <c r="G11" s="253"/>
      <c r="H11" s="253" t="s">
        <v>587</v>
      </c>
      <c r="I11" s="253"/>
      <c r="J11" s="253" t="s">
        <v>587</v>
      </c>
      <c r="K11" s="253"/>
      <c r="L11" s="253" t="s">
        <v>587</v>
      </c>
      <c r="M11" s="253"/>
      <c r="N11" s="253" t="s">
        <v>587</v>
      </c>
      <c r="O11" s="253"/>
      <c r="P11" s="253" t="s">
        <v>587</v>
      </c>
      <c r="Q11" s="253"/>
      <c r="R11" s="253" t="s">
        <v>587</v>
      </c>
      <c r="S11" s="275"/>
    </row>
    <row r="12" spans="1:23" s="201" customFormat="1" ht="16.95" customHeight="1" x14ac:dyDescent="0.3">
      <c r="A12" s="273"/>
      <c r="B12" s="260">
        <v>122</v>
      </c>
      <c r="C12" s="260"/>
      <c r="D12" s="260">
        <v>53</v>
      </c>
      <c r="E12" s="260"/>
      <c r="F12" s="260">
        <v>37</v>
      </c>
      <c r="G12" s="260"/>
      <c r="H12" s="260">
        <v>0</v>
      </c>
      <c r="I12" s="260"/>
      <c r="J12" s="260">
        <v>1</v>
      </c>
      <c r="K12" s="260"/>
      <c r="L12" s="260">
        <v>45</v>
      </c>
      <c r="M12" s="260"/>
      <c r="N12" s="260">
        <v>0</v>
      </c>
      <c r="O12" s="260"/>
      <c r="P12" s="260">
        <v>7</v>
      </c>
      <c r="Q12" s="260"/>
      <c r="R12" s="260">
        <f>P12+N12+L12+J12+H12+F12+D12+B12</f>
        <v>265</v>
      </c>
      <c r="S12" s="261"/>
    </row>
    <row r="13" spans="1:23" s="201" customFormat="1" ht="30.75" customHeight="1" x14ac:dyDescent="0.3">
      <c r="A13" s="273"/>
      <c r="B13" s="244" t="s">
        <v>588</v>
      </c>
      <c r="C13" s="244"/>
      <c r="D13" s="244" t="s">
        <v>588</v>
      </c>
      <c r="E13" s="244"/>
      <c r="F13" s="244" t="s">
        <v>588</v>
      </c>
      <c r="G13" s="244"/>
      <c r="H13" s="244" t="s">
        <v>588</v>
      </c>
      <c r="I13" s="244"/>
      <c r="J13" s="244" t="s">
        <v>588</v>
      </c>
      <c r="K13" s="244"/>
      <c r="L13" s="244" t="s">
        <v>588</v>
      </c>
      <c r="M13" s="244"/>
      <c r="N13" s="244" t="s">
        <v>588</v>
      </c>
      <c r="O13" s="244"/>
      <c r="P13" s="244" t="s">
        <v>588</v>
      </c>
      <c r="Q13" s="244"/>
      <c r="R13" s="244" t="s">
        <v>588</v>
      </c>
      <c r="S13" s="245"/>
    </row>
    <row r="14" spans="1:23" s="201" customFormat="1" ht="15" customHeight="1" thickBot="1" x14ac:dyDescent="0.35">
      <c r="A14" s="274"/>
      <c r="B14" s="255">
        <v>0</v>
      </c>
      <c r="C14" s="255"/>
      <c r="D14" s="255">
        <v>0</v>
      </c>
      <c r="E14" s="255"/>
      <c r="F14" s="255">
        <v>1</v>
      </c>
      <c r="G14" s="255"/>
      <c r="H14" s="255">
        <f>H18+H22</f>
        <v>0</v>
      </c>
      <c r="I14" s="255"/>
      <c r="J14" s="255">
        <f>J18+J22</f>
        <v>1</v>
      </c>
      <c r="K14" s="255"/>
      <c r="L14" s="255">
        <v>11</v>
      </c>
      <c r="M14" s="255"/>
      <c r="N14" s="255">
        <f>N18+N22</f>
        <v>0</v>
      </c>
      <c r="O14" s="255"/>
      <c r="P14" s="255">
        <v>24</v>
      </c>
      <c r="Q14" s="255"/>
      <c r="R14" s="255">
        <f t="shared" si="0"/>
        <v>37</v>
      </c>
      <c r="S14" s="256"/>
    </row>
    <row r="15" spans="1:23" s="201" customFormat="1" ht="36.75" customHeight="1" x14ac:dyDescent="0.3">
      <c r="A15" s="251" t="s">
        <v>589</v>
      </c>
      <c r="B15" s="253" t="s">
        <v>587</v>
      </c>
      <c r="C15" s="253"/>
      <c r="D15" s="253" t="s">
        <v>587</v>
      </c>
      <c r="E15" s="253"/>
      <c r="F15" s="253" t="s">
        <v>587</v>
      </c>
      <c r="G15" s="253"/>
      <c r="H15" s="253" t="s">
        <v>587</v>
      </c>
      <c r="I15" s="253"/>
      <c r="J15" s="253" t="s">
        <v>587</v>
      </c>
      <c r="K15" s="253"/>
      <c r="L15" s="253" t="s">
        <v>587</v>
      </c>
      <c r="M15" s="253"/>
      <c r="N15" s="253" t="s">
        <v>587</v>
      </c>
      <c r="O15" s="253"/>
      <c r="P15" s="253" t="s">
        <v>587</v>
      </c>
      <c r="Q15" s="253"/>
      <c r="R15" s="253" t="s">
        <v>587</v>
      </c>
      <c r="S15" s="253"/>
    </row>
    <row r="16" spans="1:23" s="201" customFormat="1" ht="14.4" customHeight="1" x14ac:dyDescent="0.3">
      <c r="A16" s="251"/>
      <c r="B16" s="246">
        <f>42+1+13</f>
        <v>56</v>
      </c>
      <c r="C16" s="247"/>
      <c r="D16" s="246">
        <v>33</v>
      </c>
      <c r="E16" s="247"/>
      <c r="F16" s="246">
        <v>30</v>
      </c>
      <c r="G16" s="247"/>
      <c r="H16" s="246">
        <v>0</v>
      </c>
      <c r="I16" s="247"/>
      <c r="J16" s="246">
        <v>1</v>
      </c>
      <c r="K16" s="247"/>
      <c r="L16" s="246">
        <v>39</v>
      </c>
      <c r="M16" s="247"/>
      <c r="N16" s="246">
        <v>0</v>
      </c>
      <c r="O16" s="247"/>
      <c r="P16" s="246">
        <v>7</v>
      </c>
      <c r="Q16" s="247"/>
      <c r="R16" s="246">
        <f>P16+N16+L16+J16+H16+F16+D16+B16</f>
        <v>166</v>
      </c>
      <c r="S16" s="254"/>
    </row>
    <row r="17" spans="1:19" s="201" customFormat="1" ht="20.399999999999999" customHeight="1" x14ac:dyDescent="0.3">
      <c r="A17" s="251"/>
      <c r="B17" s="244" t="s">
        <v>588</v>
      </c>
      <c r="C17" s="244"/>
      <c r="D17" s="244" t="s">
        <v>588</v>
      </c>
      <c r="E17" s="244"/>
      <c r="F17" s="244" t="s">
        <v>588</v>
      </c>
      <c r="G17" s="244"/>
      <c r="H17" s="244" t="s">
        <v>588</v>
      </c>
      <c r="I17" s="244"/>
      <c r="J17" s="244" t="s">
        <v>588</v>
      </c>
      <c r="K17" s="244"/>
      <c r="L17" s="244" t="s">
        <v>588</v>
      </c>
      <c r="M17" s="244"/>
      <c r="N17" s="244" t="s">
        <v>588</v>
      </c>
      <c r="O17" s="244"/>
      <c r="P17" s="244" t="s">
        <v>588</v>
      </c>
      <c r="Q17" s="244"/>
      <c r="R17" s="244" t="s">
        <v>588</v>
      </c>
      <c r="S17" s="245"/>
    </row>
    <row r="18" spans="1:19" s="203" customFormat="1" ht="20.399999999999999" customHeight="1" thickBot="1" x14ac:dyDescent="0.35">
      <c r="A18" s="257"/>
      <c r="B18" s="248">
        <v>0</v>
      </c>
      <c r="C18" s="249"/>
      <c r="D18" s="248">
        <v>0</v>
      </c>
      <c r="E18" s="249"/>
      <c r="F18" s="248">
        <v>1</v>
      </c>
      <c r="G18" s="249"/>
      <c r="H18" s="248">
        <v>0</v>
      </c>
      <c r="I18" s="249"/>
      <c r="J18" s="248">
        <v>1</v>
      </c>
      <c r="K18" s="249"/>
      <c r="L18" s="248">
        <v>11</v>
      </c>
      <c r="M18" s="249"/>
      <c r="N18" s="248">
        <v>0</v>
      </c>
      <c r="O18" s="249"/>
      <c r="P18" s="248">
        <v>24</v>
      </c>
      <c r="Q18" s="249"/>
      <c r="R18" s="234">
        <f t="shared" si="0"/>
        <v>37</v>
      </c>
      <c r="S18" s="236"/>
    </row>
    <row r="19" spans="1:19" s="203" customFormat="1" ht="20.399999999999999" customHeight="1" x14ac:dyDescent="0.3">
      <c r="A19" s="250" t="s">
        <v>491</v>
      </c>
      <c r="B19" s="253" t="s">
        <v>587</v>
      </c>
      <c r="C19" s="253"/>
      <c r="D19" s="253" t="s">
        <v>587</v>
      </c>
      <c r="E19" s="253"/>
      <c r="F19" s="253" t="s">
        <v>587</v>
      </c>
      <c r="G19" s="253"/>
      <c r="H19" s="253" t="s">
        <v>587</v>
      </c>
      <c r="I19" s="253"/>
      <c r="J19" s="253" t="s">
        <v>587</v>
      </c>
      <c r="K19" s="253"/>
      <c r="L19" s="253" t="s">
        <v>587</v>
      </c>
      <c r="M19" s="253"/>
      <c r="N19" s="253" t="s">
        <v>587</v>
      </c>
      <c r="O19" s="253"/>
      <c r="P19" s="253" t="s">
        <v>587</v>
      </c>
      <c r="Q19" s="253"/>
      <c r="R19" s="253" t="s">
        <v>587</v>
      </c>
      <c r="S19" s="253"/>
    </row>
    <row r="20" spans="1:19" s="203" customFormat="1" ht="20.399999999999999" customHeight="1" x14ac:dyDescent="0.3">
      <c r="A20" s="251"/>
      <c r="B20" s="246">
        <f>80+17+1</f>
        <v>98</v>
      </c>
      <c r="C20" s="247"/>
      <c r="D20" s="246">
        <v>20</v>
      </c>
      <c r="E20" s="247"/>
      <c r="F20" s="246">
        <v>7</v>
      </c>
      <c r="G20" s="247"/>
      <c r="H20" s="246">
        <v>0</v>
      </c>
      <c r="I20" s="247"/>
      <c r="J20" s="246">
        <v>0</v>
      </c>
      <c r="K20" s="247"/>
      <c r="L20" s="246">
        <v>6</v>
      </c>
      <c r="M20" s="247"/>
      <c r="N20" s="246">
        <v>0</v>
      </c>
      <c r="O20" s="247"/>
      <c r="P20" s="246">
        <v>0</v>
      </c>
      <c r="Q20" s="247"/>
      <c r="R20" s="246">
        <f>P20+N20+L20+J20+H20+F20+D20+B20</f>
        <v>131</v>
      </c>
      <c r="S20" s="254"/>
    </row>
    <row r="21" spans="1:19" s="203" customFormat="1" ht="20.399999999999999" customHeight="1" x14ac:dyDescent="0.3">
      <c r="A21" s="251"/>
      <c r="B21" s="244" t="s">
        <v>588</v>
      </c>
      <c r="C21" s="244"/>
      <c r="D21" s="244" t="s">
        <v>588</v>
      </c>
      <c r="E21" s="244"/>
      <c r="F21" s="244" t="s">
        <v>588</v>
      </c>
      <c r="G21" s="244"/>
      <c r="H21" s="244" t="s">
        <v>588</v>
      </c>
      <c r="I21" s="244"/>
      <c r="J21" s="244" t="s">
        <v>588</v>
      </c>
      <c r="K21" s="244"/>
      <c r="L21" s="244" t="s">
        <v>588</v>
      </c>
      <c r="M21" s="244"/>
      <c r="N21" s="244" t="s">
        <v>588</v>
      </c>
      <c r="O21" s="244"/>
      <c r="P21" s="244" t="s">
        <v>588</v>
      </c>
      <c r="Q21" s="244"/>
      <c r="R21" s="244" t="s">
        <v>588</v>
      </c>
      <c r="S21" s="245"/>
    </row>
    <row r="22" spans="1:19" s="203" customFormat="1" ht="20.399999999999999" customHeight="1" thickBot="1" x14ac:dyDescent="0.35">
      <c r="A22" s="252"/>
      <c r="B22" s="234">
        <v>0</v>
      </c>
      <c r="C22" s="235"/>
      <c r="D22" s="234">
        <v>0</v>
      </c>
      <c r="E22" s="235"/>
      <c r="F22" s="234">
        <v>0</v>
      </c>
      <c r="G22" s="235"/>
      <c r="H22" s="234">
        <v>0</v>
      </c>
      <c r="I22" s="235"/>
      <c r="J22" s="234">
        <v>0</v>
      </c>
      <c r="K22" s="235"/>
      <c r="L22" s="234">
        <v>0</v>
      </c>
      <c r="M22" s="235"/>
      <c r="N22" s="234">
        <v>0</v>
      </c>
      <c r="O22" s="235"/>
      <c r="P22" s="234">
        <v>0</v>
      </c>
      <c r="Q22" s="235"/>
      <c r="R22" s="234">
        <f t="shared" si="0"/>
        <v>0</v>
      </c>
      <c r="S22" s="236"/>
    </row>
    <row r="23" spans="1:19" s="203" customFormat="1" ht="20.399999999999999" x14ac:dyDescent="0.3">
      <c r="A23" s="204" t="s">
        <v>591</v>
      </c>
      <c r="B23" s="237">
        <v>21</v>
      </c>
      <c r="C23" s="238"/>
      <c r="D23" s="237">
        <v>12</v>
      </c>
      <c r="E23" s="238"/>
      <c r="F23" s="237">
        <v>7</v>
      </c>
      <c r="G23" s="238"/>
      <c r="H23" s="237">
        <v>0</v>
      </c>
      <c r="I23" s="238"/>
      <c r="J23" s="237">
        <v>2</v>
      </c>
      <c r="K23" s="238"/>
      <c r="L23" s="237">
        <v>11</v>
      </c>
      <c r="M23" s="238"/>
      <c r="N23" s="237">
        <v>0</v>
      </c>
      <c r="O23" s="238"/>
      <c r="P23" s="237">
        <v>2</v>
      </c>
      <c r="Q23" s="238"/>
      <c r="R23" s="240">
        <f t="shared" si="0"/>
        <v>55</v>
      </c>
      <c r="S23" s="241"/>
    </row>
    <row r="24" spans="1:19" s="203" customFormat="1" ht="20.399999999999999" x14ac:dyDescent="0.3">
      <c r="A24" s="205" t="s">
        <v>592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42"/>
      <c r="S24" s="243"/>
    </row>
    <row r="25" spans="1:19" s="203" customFormat="1" ht="26.4" x14ac:dyDescent="0.3">
      <c r="A25" s="216" t="s">
        <v>593</v>
      </c>
      <c r="B25" s="217">
        <v>64</v>
      </c>
      <c r="C25" s="285" t="s">
        <v>615</v>
      </c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</row>
    <row r="26" spans="1:19" s="203" customFormat="1" ht="26.4" x14ac:dyDescent="0.3">
      <c r="A26" s="216" t="s">
        <v>594</v>
      </c>
      <c r="B26" s="217">
        <v>40</v>
      </c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</row>
    <row r="29" spans="1:19" ht="13.8" x14ac:dyDescent="0.25">
      <c r="B29" s="218" t="s">
        <v>616</v>
      </c>
      <c r="C29" s="218"/>
      <c r="D29" s="218"/>
      <c r="E29" s="218"/>
      <c r="F29" s="218"/>
      <c r="G29" s="218"/>
      <c r="H29" s="218"/>
      <c r="I29" s="218"/>
      <c r="J29" s="218"/>
      <c r="K29" s="218"/>
    </row>
    <row r="30" spans="1:19" ht="13.8" x14ac:dyDescent="0.25">
      <c r="B30" s="218"/>
      <c r="C30" s="218"/>
      <c r="D30" s="218"/>
      <c r="E30" s="218"/>
      <c r="F30" s="218"/>
      <c r="G30" s="218"/>
      <c r="H30" s="218"/>
      <c r="I30" s="218"/>
      <c r="J30" s="218"/>
      <c r="K30" s="218"/>
    </row>
  </sheetData>
  <mergeCells count="205">
    <mergeCell ref="C25:S26"/>
    <mergeCell ref="A1:S1"/>
    <mergeCell ref="L3:M3"/>
    <mergeCell ref="N3:O3"/>
    <mergeCell ref="P3:Q3"/>
    <mergeCell ref="R3:S3"/>
    <mergeCell ref="B3:C3"/>
    <mergeCell ref="D3:E3"/>
    <mergeCell ref="F3:G3"/>
    <mergeCell ref="H3:I3"/>
    <mergeCell ref="J3:K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3:A6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C5"/>
    <mergeCell ref="D5:E5"/>
    <mergeCell ref="P5:Q5"/>
    <mergeCell ref="R5:S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J7:K7"/>
    <mergeCell ref="L7:M7"/>
    <mergeCell ref="N7:O7"/>
    <mergeCell ref="P7:Q7"/>
    <mergeCell ref="R7:S7"/>
    <mergeCell ref="A7:A10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J9:K9"/>
    <mergeCell ref="L9:M9"/>
    <mergeCell ref="N9:O9"/>
    <mergeCell ref="P9:Q9"/>
    <mergeCell ref="R9:S9"/>
    <mergeCell ref="J8:K8"/>
    <mergeCell ref="L8:M8"/>
    <mergeCell ref="N8:O8"/>
    <mergeCell ref="P8:Q8"/>
    <mergeCell ref="R8:S8"/>
    <mergeCell ref="R10:S10"/>
    <mergeCell ref="A11:A14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2:C12"/>
    <mergeCell ref="D12:E12"/>
    <mergeCell ref="F12:G12"/>
    <mergeCell ref="H12:I12"/>
    <mergeCell ref="J12:K12"/>
    <mergeCell ref="H10:I10"/>
    <mergeCell ref="J10:K10"/>
    <mergeCell ref="L10:M10"/>
    <mergeCell ref="N10:O10"/>
    <mergeCell ref="P10:Q10"/>
    <mergeCell ref="L12:M1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4:M14"/>
    <mergeCell ref="N14:O14"/>
    <mergeCell ref="P14:Q14"/>
    <mergeCell ref="R14:S14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6:C16"/>
    <mergeCell ref="D16:E16"/>
    <mergeCell ref="B14:C14"/>
    <mergeCell ref="D14:E14"/>
    <mergeCell ref="F14:G14"/>
    <mergeCell ref="H14:I14"/>
    <mergeCell ref="J14:K14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F16:G16"/>
    <mergeCell ref="H16:I16"/>
    <mergeCell ref="J16:K16"/>
    <mergeCell ref="L16:M16"/>
    <mergeCell ref="N16:O16"/>
    <mergeCell ref="L18:M18"/>
    <mergeCell ref="N18:O18"/>
    <mergeCell ref="P18:Q18"/>
    <mergeCell ref="R18:S18"/>
    <mergeCell ref="A19:A22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20:C20"/>
    <mergeCell ref="D20:E20"/>
    <mergeCell ref="B18:C18"/>
    <mergeCell ref="D18:E18"/>
    <mergeCell ref="F18:G18"/>
    <mergeCell ref="H18:I18"/>
    <mergeCell ref="J18:K18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F20:G20"/>
    <mergeCell ref="H20:I20"/>
    <mergeCell ref="J20:K20"/>
    <mergeCell ref="L20:M20"/>
    <mergeCell ref="N20:O20"/>
    <mergeCell ref="L22:M22"/>
    <mergeCell ref="N22:O22"/>
    <mergeCell ref="P22:Q22"/>
    <mergeCell ref="R22:S22"/>
    <mergeCell ref="B23:C24"/>
    <mergeCell ref="D23:E24"/>
    <mergeCell ref="F23:G24"/>
    <mergeCell ref="H23:I24"/>
    <mergeCell ref="J23:K24"/>
    <mergeCell ref="L23:M24"/>
    <mergeCell ref="N23:O24"/>
    <mergeCell ref="P23:Q24"/>
    <mergeCell ref="R23:S24"/>
    <mergeCell ref="B22:C22"/>
    <mergeCell ref="D22:E22"/>
    <mergeCell ref="F22:G22"/>
    <mergeCell ref="H22:I22"/>
    <mergeCell ref="J22:K2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67"/>
  <sheetViews>
    <sheetView topLeftCell="A49" workbookViewId="0">
      <selection activeCell="F70" sqref="F70:O71"/>
    </sheetView>
  </sheetViews>
  <sheetFormatPr defaultRowHeight="14.4" x14ac:dyDescent="0.3"/>
  <cols>
    <col min="1" max="1" width="7" customWidth="1"/>
    <col min="2" max="2" width="25.44140625" customWidth="1"/>
    <col min="3" max="3" width="10.44140625" customWidth="1"/>
    <col min="4" max="4" width="10.5546875" customWidth="1"/>
    <col min="5" max="5" width="11.77734375" customWidth="1"/>
    <col min="6" max="6" width="10.77734375" customWidth="1"/>
    <col min="7" max="7" width="10.21875" customWidth="1"/>
  </cols>
  <sheetData>
    <row r="1" spans="1:7" x14ac:dyDescent="0.3">
      <c r="A1" s="120"/>
      <c r="B1" s="121" t="s">
        <v>90</v>
      </c>
      <c r="C1" s="121" t="s">
        <v>495</v>
      </c>
      <c r="D1" s="120"/>
      <c r="E1" s="120"/>
      <c r="F1" s="301" t="s">
        <v>84</v>
      </c>
      <c r="G1" s="301"/>
    </row>
    <row r="2" spans="1:7" x14ac:dyDescent="0.3">
      <c r="A2" s="293" t="s">
        <v>83</v>
      </c>
      <c r="B2" s="293"/>
      <c r="C2" s="293"/>
      <c r="D2" s="293"/>
      <c r="E2" s="293"/>
      <c r="F2" s="293"/>
      <c r="G2" s="293"/>
    </row>
    <row r="3" spans="1:7" x14ac:dyDescent="0.3">
      <c r="A3" s="293"/>
      <c r="B3" s="293"/>
      <c r="C3" s="293"/>
      <c r="D3" s="293"/>
      <c r="E3" s="293"/>
      <c r="F3" s="293"/>
      <c r="G3" s="293"/>
    </row>
    <row r="4" spans="1:7" ht="27.75" customHeight="1" thickBot="1" x14ac:dyDescent="0.35">
      <c r="A4" s="294"/>
      <c r="B4" s="294"/>
      <c r="C4" s="294"/>
      <c r="D4" s="294"/>
      <c r="E4" s="294"/>
      <c r="F4" s="294"/>
      <c r="G4" s="294"/>
    </row>
    <row r="5" spans="1:7" ht="57" x14ac:dyDescent="0.3">
      <c r="A5" s="295" t="s">
        <v>9</v>
      </c>
      <c r="B5" s="297" t="s">
        <v>10</v>
      </c>
      <c r="C5" s="297" t="s">
        <v>5</v>
      </c>
      <c r="D5" s="299" t="s">
        <v>11</v>
      </c>
      <c r="E5" s="6" t="s">
        <v>12</v>
      </c>
      <c r="F5" s="6" t="s">
        <v>13</v>
      </c>
      <c r="G5" s="7" t="s">
        <v>14</v>
      </c>
    </row>
    <row r="6" spans="1:7" x14ac:dyDescent="0.3">
      <c r="A6" s="296"/>
      <c r="B6" s="298"/>
      <c r="C6" s="298"/>
      <c r="D6" s="300"/>
      <c r="E6" s="8" t="s">
        <v>15</v>
      </c>
      <c r="F6" s="8" t="s">
        <v>16</v>
      </c>
      <c r="G6" s="9" t="s">
        <v>17</v>
      </c>
    </row>
    <row r="7" spans="1:7" x14ac:dyDescent="0.3">
      <c r="A7" s="10"/>
      <c r="B7" s="11"/>
      <c r="C7" s="11"/>
      <c r="D7" s="8"/>
      <c r="E7" s="12" t="s">
        <v>18</v>
      </c>
      <c r="F7" s="12" t="s">
        <v>19</v>
      </c>
      <c r="G7" s="13" t="s">
        <v>20</v>
      </c>
    </row>
    <row r="8" spans="1:7" x14ac:dyDescent="0.3">
      <c r="A8" s="10">
        <v>1</v>
      </c>
      <c r="B8" s="11">
        <f>+A8+1</f>
        <v>2</v>
      </c>
      <c r="C8" s="11">
        <f>+B8+1</f>
        <v>3</v>
      </c>
      <c r="D8" s="8">
        <f>+C8+1</f>
        <v>4</v>
      </c>
      <c r="E8" s="8">
        <f>+D8+1</f>
        <v>5</v>
      </c>
      <c r="F8" s="8">
        <f>+E8+1</f>
        <v>6</v>
      </c>
      <c r="G8" s="9" t="s">
        <v>21</v>
      </c>
    </row>
    <row r="9" spans="1:7" x14ac:dyDescent="0.3">
      <c r="A9" s="291">
        <v>1</v>
      </c>
      <c r="B9" s="292" t="s">
        <v>22</v>
      </c>
      <c r="C9" s="292" t="s">
        <v>23</v>
      </c>
      <c r="D9" s="14">
        <v>1150</v>
      </c>
      <c r="E9" s="15"/>
      <c r="F9" s="15"/>
      <c r="G9" s="16">
        <f>E9*F9</f>
        <v>0</v>
      </c>
    </row>
    <row r="10" spans="1:7" x14ac:dyDescent="0.3">
      <c r="A10" s="291"/>
      <c r="B10" s="292"/>
      <c r="C10" s="292"/>
      <c r="D10" s="14">
        <v>750</v>
      </c>
      <c r="E10" s="15"/>
      <c r="F10" s="15"/>
      <c r="G10" s="16">
        <f>E10*F10</f>
        <v>0</v>
      </c>
    </row>
    <row r="11" spans="1:7" x14ac:dyDescent="0.3">
      <c r="A11" s="291"/>
      <c r="B11" s="292"/>
      <c r="C11" s="292"/>
      <c r="D11" s="14" t="s">
        <v>24</v>
      </c>
      <c r="E11" s="15"/>
      <c r="F11" s="15"/>
      <c r="G11" s="16">
        <f>E11*F11</f>
        <v>0</v>
      </c>
    </row>
    <row r="12" spans="1:7" x14ac:dyDescent="0.3">
      <c r="A12" s="291"/>
      <c r="B12" s="292"/>
      <c r="C12" s="292"/>
      <c r="D12" s="14">
        <v>330</v>
      </c>
      <c r="E12" s="15"/>
      <c r="F12" s="15"/>
      <c r="G12" s="16">
        <f>E12*F12</f>
        <v>0</v>
      </c>
    </row>
    <row r="13" spans="1:7" x14ac:dyDescent="0.3">
      <c r="A13" s="291"/>
      <c r="B13" s="292"/>
      <c r="C13" s="292"/>
      <c r="D13" s="14">
        <v>220</v>
      </c>
      <c r="E13" s="15"/>
      <c r="F13" s="15"/>
      <c r="G13" s="16">
        <f t="shared" ref="G13:G50" si="0">E13*F13</f>
        <v>0</v>
      </c>
    </row>
    <row r="14" spans="1:7" x14ac:dyDescent="0.3">
      <c r="A14" s="291"/>
      <c r="B14" s="292"/>
      <c r="C14" s="292"/>
      <c r="D14" s="14" t="s">
        <v>25</v>
      </c>
      <c r="E14" s="15"/>
      <c r="F14" s="15"/>
      <c r="G14" s="16">
        <f t="shared" si="0"/>
        <v>0</v>
      </c>
    </row>
    <row r="15" spans="1:7" x14ac:dyDescent="0.3">
      <c r="A15" s="291"/>
      <c r="B15" s="292"/>
      <c r="C15" s="292"/>
      <c r="D15" s="14">
        <v>35</v>
      </c>
      <c r="E15" s="15">
        <v>75</v>
      </c>
      <c r="F15" s="15">
        <v>1</v>
      </c>
      <c r="G15" s="16">
        <f t="shared" si="0"/>
        <v>75</v>
      </c>
    </row>
    <row r="16" spans="1:7" x14ac:dyDescent="0.3">
      <c r="A16" s="291">
        <v>2</v>
      </c>
      <c r="B16" s="292" t="s">
        <v>26</v>
      </c>
      <c r="C16" s="292" t="s">
        <v>27</v>
      </c>
      <c r="D16" s="14">
        <v>1150</v>
      </c>
      <c r="E16" s="15"/>
      <c r="F16" s="15"/>
      <c r="G16" s="16">
        <f t="shared" si="0"/>
        <v>0</v>
      </c>
    </row>
    <row r="17" spans="1:7" x14ac:dyDescent="0.3">
      <c r="A17" s="291"/>
      <c r="B17" s="292"/>
      <c r="C17" s="292"/>
      <c r="D17" s="14">
        <v>750</v>
      </c>
      <c r="E17" s="15"/>
      <c r="F17" s="15"/>
      <c r="G17" s="16">
        <f t="shared" si="0"/>
        <v>0</v>
      </c>
    </row>
    <row r="18" spans="1:7" x14ac:dyDescent="0.3">
      <c r="A18" s="291"/>
      <c r="B18" s="292"/>
      <c r="C18" s="292"/>
      <c r="D18" s="14" t="s">
        <v>24</v>
      </c>
      <c r="E18" s="15"/>
      <c r="F18" s="15"/>
      <c r="G18" s="16">
        <f t="shared" si="0"/>
        <v>0</v>
      </c>
    </row>
    <row r="19" spans="1:7" x14ac:dyDescent="0.3">
      <c r="A19" s="291"/>
      <c r="B19" s="292"/>
      <c r="C19" s="292"/>
      <c r="D19" s="14">
        <v>330</v>
      </c>
      <c r="E19" s="15"/>
      <c r="F19" s="15"/>
      <c r="G19" s="16">
        <f t="shared" si="0"/>
        <v>0</v>
      </c>
    </row>
    <row r="20" spans="1:7" x14ac:dyDescent="0.3">
      <c r="A20" s="291"/>
      <c r="B20" s="292"/>
      <c r="C20" s="292"/>
      <c r="D20" s="14">
        <v>220</v>
      </c>
      <c r="E20" s="15"/>
      <c r="F20" s="15"/>
      <c r="G20" s="16">
        <f t="shared" si="0"/>
        <v>0</v>
      </c>
    </row>
    <row r="21" spans="1:7" x14ac:dyDescent="0.3">
      <c r="A21" s="291"/>
      <c r="B21" s="292"/>
      <c r="C21" s="292"/>
      <c r="D21" s="14" t="s">
        <v>25</v>
      </c>
      <c r="E21" s="15"/>
      <c r="F21" s="15"/>
      <c r="G21" s="16">
        <f t="shared" si="0"/>
        <v>0</v>
      </c>
    </row>
    <row r="22" spans="1:7" x14ac:dyDescent="0.3">
      <c r="A22" s="291"/>
      <c r="B22" s="292"/>
      <c r="C22" s="292"/>
      <c r="D22" s="14">
        <v>35</v>
      </c>
      <c r="E22" s="15"/>
      <c r="F22" s="15"/>
      <c r="G22" s="16">
        <f t="shared" si="0"/>
        <v>0</v>
      </c>
    </row>
    <row r="23" spans="1:7" x14ac:dyDescent="0.3">
      <c r="A23" s="291"/>
      <c r="B23" s="292"/>
      <c r="C23" s="292"/>
      <c r="D23" s="17" t="s">
        <v>28</v>
      </c>
      <c r="E23" s="15">
        <v>1</v>
      </c>
      <c r="F23" s="15">
        <v>2</v>
      </c>
      <c r="G23" s="16">
        <f t="shared" si="0"/>
        <v>2</v>
      </c>
    </row>
    <row r="24" spans="1:7" x14ac:dyDescent="0.3">
      <c r="A24" s="291">
        <v>3</v>
      </c>
      <c r="B24" s="292" t="s">
        <v>29</v>
      </c>
      <c r="C24" s="292" t="s">
        <v>30</v>
      </c>
      <c r="D24" s="14">
        <v>1150</v>
      </c>
      <c r="E24" s="15"/>
      <c r="F24" s="15"/>
      <c r="G24" s="16">
        <f t="shared" si="0"/>
        <v>0</v>
      </c>
    </row>
    <row r="25" spans="1:7" x14ac:dyDescent="0.3">
      <c r="A25" s="291"/>
      <c r="B25" s="292"/>
      <c r="C25" s="292"/>
      <c r="D25" s="14">
        <v>750</v>
      </c>
      <c r="E25" s="15"/>
      <c r="F25" s="15"/>
      <c r="G25" s="16">
        <f t="shared" si="0"/>
        <v>0</v>
      </c>
    </row>
    <row r="26" spans="1:7" x14ac:dyDescent="0.3">
      <c r="A26" s="291"/>
      <c r="B26" s="292"/>
      <c r="C26" s="292"/>
      <c r="D26" s="14" t="s">
        <v>24</v>
      </c>
      <c r="E26" s="15"/>
      <c r="F26" s="15"/>
      <c r="G26" s="16">
        <f t="shared" si="0"/>
        <v>0</v>
      </c>
    </row>
    <row r="27" spans="1:7" x14ac:dyDescent="0.3">
      <c r="A27" s="291"/>
      <c r="B27" s="292"/>
      <c r="C27" s="292"/>
      <c r="D27" s="14">
        <v>330</v>
      </c>
      <c r="E27" s="15"/>
      <c r="F27" s="15"/>
      <c r="G27" s="16">
        <f t="shared" si="0"/>
        <v>0</v>
      </c>
    </row>
    <row r="28" spans="1:7" x14ac:dyDescent="0.3">
      <c r="A28" s="291"/>
      <c r="B28" s="292"/>
      <c r="C28" s="292"/>
      <c r="D28" s="14">
        <v>220</v>
      </c>
      <c r="E28" s="15"/>
      <c r="F28" s="15"/>
      <c r="G28" s="16">
        <f t="shared" si="0"/>
        <v>0</v>
      </c>
    </row>
    <row r="29" spans="1:7" x14ac:dyDescent="0.3">
      <c r="A29" s="291"/>
      <c r="B29" s="292"/>
      <c r="C29" s="292"/>
      <c r="D29" s="14" t="s">
        <v>25</v>
      </c>
      <c r="E29" s="15"/>
      <c r="F29" s="15"/>
      <c r="G29" s="16">
        <f t="shared" si="0"/>
        <v>0</v>
      </c>
    </row>
    <row r="30" spans="1:7" x14ac:dyDescent="0.3">
      <c r="A30" s="291"/>
      <c r="B30" s="292"/>
      <c r="C30" s="292"/>
      <c r="D30" s="14">
        <v>35</v>
      </c>
      <c r="E30" s="15"/>
      <c r="F30" s="15"/>
      <c r="G30" s="16">
        <f t="shared" si="0"/>
        <v>0</v>
      </c>
    </row>
    <row r="31" spans="1:7" x14ac:dyDescent="0.3">
      <c r="A31" s="291"/>
      <c r="B31" s="292"/>
      <c r="C31" s="292"/>
      <c r="D31" s="17" t="s">
        <v>28</v>
      </c>
      <c r="E31" s="15"/>
      <c r="F31" s="15"/>
      <c r="G31" s="16">
        <f t="shared" si="0"/>
        <v>0</v>
      </c>
    </row>
    <row r="32" spans="1:7" x14ac:dyDescent="0.3">
      <c r="A32" s="291">
        <v>4</v>
      </c>
      <c r="B32" s="292" t="s">
        <v>31</v>
      </c>
      <c r="C32" s="292" t="s">
        <v>32</v>
      </c>
      <c r="D32" s="14">
        <v>220</v>
      </c>
      <c r="E32" s="15"/>
      <c r="F32" s="15"/>
      <c r="G32" s="16">
        <f t="shared" si="0"/>
        <v>0</v>
      </c>
    </row>
    <row r="33" spans="1:7" x14ac:dyDescent="0.3">
      <c r="A33" s="291"/>
      <c r="B33" s="292"/>
      <c r="C33" s="292"/>
      <c r="D33" s="14" t="s">
        <v>25</v>
      </c>
      <c r="E33" s="15"/>
      <c r="F33" s="15"/>
      <c r="G33" s="16">
        <f t="shared" si="0"/>
        <v>0</v>
      </c>
    </row>
    <row r="34" spans="1:7" x14ac:dyDescent="0.3">
      <c r="A34" s="291"/>
      <c r="B34" s="292"/>
      <c r="C34" s="292"/>
      <c r="D34" s="14">
        <v>35</v>
      </c>
      <c r="E34" s="15">
        <v>6.4</v>
      </c>
      <c r="F34" s="15">
        <v>3</v>
      </c>
      <c r="G34" s="16">
        <f t="shared" si="0"/>
        <v>19.200000000000003</v>
      </c>
    </row>
    <row r="35" spans="1:7" x14ac:dyDescent="0.3">
      <c r="A35" s="291"/>
      <c r="B35" s="292"/>
      <c r="C35" s="292"/>
      <c r="D35" s="17" t="s">
        <v>28</v>
      </c>
      <c r="E35" s="15">
        <v>3.1</v>
      </c>
      <c r="F35" s="15">
        <v>41</v>
      </c>
      <c r="G35" s="16">
        <f t="shared" si="0"/>
        <v>127.10000000000001</v>
      </c>
    </row>
    <row r="36" spans="1:7" x14ac:dyDescent="0.3">
      <c r="A36" s="291">
        <v>5</v>
      </c>
      <c r="B36" s="292" t="s">
        <v>33</v>
      </c>
      <c r="C36" s="292" t="s">
        <v>27</v>
      </c>
      <c r="D36" s="14" t="s">
        <v>24</v>
      </c>
      <c r="E36" s="15"/>
      <c r="F36" s="15"/>
      <c r="G36" s="16">
        <f t="shared" si="0"/>
        <v>0</v>
      </c>
    </row>
    <row r="37" spans="1:7" x14ac:dyDescent="0.3">
      <c r="A37" s="291"/>
      <c r="B37" s="292"/>
      <c r="C37" s="292"/>
      <c r="D37" s="14">
        <v>330</v>
      </c>
      <c r="E37" s="15"/>
      <c r="F37" s="15"/>
      <c r="G37" s="16">
        <f t="shared" si="0"/>
        <v>0</v>
      </c>
    </row>
    <row r="38" spans="1:7" x14ac:dyDescent="0.3">
      <c r="A38" s="291"/>
      <c r="B38" s="292"/>
      <c r="C38" s="292"/>
      <c r="D38" s="14">
        <v>220</v>
      </c>
      <c r="E38" s="15"/>
      <c r="F38" s="15"/>
      <c r="G38" s="16">
        <f t="shared" si="0"/>
        <v>0</v>
      </c>
    </row>
    <row r="39" spans="1:7" x14ac:dyDescent="0.3">
      <c r="A39" s="291"/>
      <c r="B39" s="292"/>
      <c r="C39" s="292"/>
      <c r="D39" s="14" t="s">
        <v>25</v>
      </c>
      <c r="E39" s="15"/>
      <c r="F39" s="15"/>
      <c r="G39" s="16">
        <f t="shared" si="0"/>
        <v>0</v>
      </c>
    </row>
    <row r="40" spans="1:7" x14ac:dyDescent="0.3">
      <c r="A40" s="291"/>
      <c r="B40" s="292"/>
      <c r="C40" s="292"/>
      <c r="D40" s="14">
        <v>35</v>
      </c>
      <c r="E40" s="15">
        <v>4.7</v>
      </c>
      <c r="F40" s="15">
        <v>6</v>
      </c>
      <c r="G40" s="16">
        <f t="shared" si="0"/>
        <v>28.200000000000003</v>
      </c>
    </row>
    <row r="41" spans="1:7" ht="22.5" customHeight="1" x14ac:dyDescent="0.3">
      <c r="A41" s="18">
        <v>6</v>
      </c>
      <c r="B41" s="19" t="s">
        <v>34</v>
      </c>
      <c r="C41" s="19" t="s">
        <v>32</v>
      </c>
      <c r="D41" s="17" t="s">
        <v>28</v>
      </c>
      <c r="E41" s="15">
        <v>2.2999999999999998</v>
      </c>
      <c r="F41" s="15">
        <v>440</v>
      </c>
      <c r="G41" s="16">
        <f t="shared" si="0"/>
        <v>1011.9999999999999</v>
      </c>
    </row>
    <row r="42" spans="1:7" ht="31.5" customHeight="1" x14ac:dyDescent="0.3">
      <c r="A42" s="18">
        <v>7</v>
      </c>
      <c r="B42" s="19" t="s">
        <v>35</v>
      </c>
      <c r="C42" s="19" t="s">
        <v>32</v>
      </c>
      <c r="D42" s="17" t="s">
        <v>28</v>
      </c>
      <c r="E42" s="15"/>
      <c r="F42" s="15"/>
      <c r="G42" s="16">
        <f t="shared" si="0"/>
        <v>0</v>
      </c>
    </row>
    <row r="43" spans="1:7" ht="18" customHeight="1" x14ac:dyDescent="0.3">
      <c r="A43" s="18">
        <v>8</v>
      </c>
      <c r="B43" s="19" t="s">
        <v>36</v>
      </c>
      <c r="C43" s="19" t="s">
        <v>32</v>
      </c>
      <c r="D43" s="17" t="s">
        <v>28</v>
      </c>
      <c r="E43" s="15"/>
      <c r="F43" s="15"/>
      <c r="G43" s="16">
        <f t="shared" si="0"/>
        <v>0</v>
      </c>
    </row>
    <row r="44" spans="1:7" x14ac:dyDescent="0.3">
      <c r="A44" s="302">
        <v>9</v>
      </c>
      <c r="B44" s="303" t="s">
        <v>37</v>
      </c>
      <c r="C44" s="304" t="s">
        <v>38</v>
      </c>
      <c r="D44" s="14" t="s">
        <v>25</v>
      </c>
      <c r="E44" s="15"/>
      <c r="F44" s="15"/>
      <c r="G44" s="16">
        <f t="shared" si="0"/>
        <v>0</v>
      </c>
    </row>
    <row r="45" spans="1:7" x14ac:dyDescent="0.3">
      <c r="A45" s="302"/>
      <c r="B45" s="303"/>
      <c r="C45" s="304"/>
      <c r="D45" s="14">
        <v>35</v>
      </c>
      <c r="E45" s="15"/>
      <c r="F45" s="15"/>
      <c r="G45" s="16">
        <f t="shared" si="0"/>
        <v>0</v>
      </c>
    </row>
    <row r="46" spans="1:7" x14ac:dyDescent="0.3">
      <c r="A46" s="302"/>
      <c r="B46" s="303"/>
      <c r="C46" s="304"/>
      <c r="D46" s="17" t="s">
        <v>28</v>
      </c>
      <c r="E46" s="15"/>
      <c r="F46" s="15"/>
      <c r="G46" s="16">
        <f t="shared" si="0"/>
        <v>0</v>
      </c>
    </row>
    <row r="47" spans="1:7" ht="28.5" customHeight="1" x14ac:dyDescent="0.3">
      <c r="A47" s="18">
        <v>10</v>
      </c>
      <c r="B47" s="19" t="s">
        <v>39</v>
      </c>
      <c r="C47" s="19" t="s">
        <v>40</v>
      </c>
      <c r="D47" s="17" t="s">
        <v>28</v>
      </c>
      <c r="E47" s="15">
        <v>2.5</v>
      </c>
      <c r="F47" s="15">
        <v>8</v>
      </c>
      <c r="G47" s="16">
        <f t="shared" si="0"/>
        <v>20</v>
      </c>
    </row>
    <row r="48" spans="1:7" ht="38.25" customHeight="1" x14ac:dyDescent="0.3">
      <c r="A48" s="18">
        <v>11</v>
      </c>
      <c r="B48" s="19" t="s">
        <v>41</v>
      </c>
      <c r="C48" s="19" t="s">
        <v>42</v>
      </c>
      <c r="D48" s="17" t="s">
        <v>28</v>
      </c>
      <c r="E48" s="15">
        <v>2.2999999999999998</v>
      </c>
      <c r="F48" s="15">
        <v>64</v>
      </c>
      <c r="G48" s="16">
        <f t="shared" si="0"/>
        <v>147.19999999999999</v>
      </c>
    </row>
    <row r="49" spans="1:9" ht="29.25" customHeight="1" x14ac:dyDescent="0.3">
      <c r="A49" s="18">
        <v>12</v>
      </c>
      <c r="B49" s="19" t="s">
        <v>43</v>
      </c>
      <c r="C49" s="19" t="s">
        <v>42</v>
      </c>
      <c r="D49" s="17" t="s">
        <v>28</v>
      </c>
      <c r="E49" s="15">
        <v>3</v>
      </c>
      <c r="F49" s="15">
        <v>40</v>
      </c>
      <c r="G49" s="16">
        <f t="shared" si="0"/>
        <v>120</v>
      </c>
    </row>
    <row r="50" spans="1:9" ht="30" customHeight="1" x14ac:dyDescent="0.3">
      <c r="A50" s="18">
        <v>13</v>
      </c>
      <c r="B50" s="19" t="s">
        <v>44</v>
      </c>
      <c r="C50" s="19" t="s">
        <v>45</v>
      </c>
      <c r="D50" s="14">
        <v>35</v>
      </c>
      <c r="E50" s="15"/>
      <c r="F50" s="15"/>
      <c r="G50" s="16">
        <f t="shared" si="0"/>
        <v>0</v>
      </c>
    </row>
    <row r="51" spans="1:9" x14ac:dyDescent="0.3">
      <c r="A51" s="291" t="s">
        <v>46</v>
      </c>
      <c r="B51" s="306" t="s">
        <v>8</v>
      </c>
      <c r="C51" s="308"/>
      <c r="D51" s="14" t="s">
        <v>47</v>
      </c>
      <c r="E51" s="20"/>
      <c r="F51" s="20"/>
      <c r="G51" s="21">
        <f>G39+G38+G33+G32+G29+G28+G21+G20+G14+G13+G44</f>
        <v>0</v>
      </c>
    </row>
    <row r="52" spans="1:9" x14ac:dyDescent="0.3">
      <c r="A52" s="291"/>
      <c r="B52" s="306"/>
      <c r="C52" s="308"/>
      <c r="D52" s="14" t="s">
        <v>48</v>
      </c>
      <c r="E52" s="20"/>
      <c r="F52" s="20"/>
      <c r="G52" s="21">
        <f>G34+G40+G15</f>
        <v>122.4</v>
      </c>
    </row>
    <row r="53" spans="1:9" x14ac:dyDescent="0.3">
      <c r="A53" s="291"/>
      <c r="B53" s="306"/>
      <c r="C53" s="308"/>
      <c r="D53" s="14" t="s">
        <v>49</v>
      </c>
      <c r="E53" s="20"/>
      <c r="F53" s="20"/>
      <c r="G53" s="21">
        <f>G23+G35+G41+G47+G48+G49</f>
        <v>1428.3</v>
      </c>
      <c r="I53" s="122"/>
    </row>
    <row r="54" spans="1:9" ht="15" thickBot="1" x14ac:dyDescent="0.35">
      <c r="A54" s="305"/>
      <c r="B54" s="307"/>
      <c r="C54" s="309"/>
      <c r="D54" s="22" t="s">
        <v>50</v>
      </c>
      <c r="E54" s="23"/>
      <c r="F54" s="23"/>
      <c r="G54" s="24">
        <f>SUM(G9:G50) - G51-G52-G53</f>
        <v>0</v>
      </c>
    </row>
    <row r="56" spans="1:9" x14ac:dyDescent="0.3">
      <c r="B56" s="25"/>
    </row>
    <row r="57" spans="1:9" x14ac:dyDescent="0.3">
      <c r="A57" s="5" t="s">
        <v>497</v>
      </c>
      <c r="B57" s="68"/>
      <c r="C57" s="68"/>
      <c r="D57" s="68"/>
      <c r="E57" s="68"/>
      <c r="F57" s="68"/>
      <c r="G57" s="68"/>
      <c r="H57" s="5"/>
    </row>
    <row r="58" spans="1:9" x14ac:dyDescent="0.3">
      <c r="A58" s="5" t="s">
        <v>498</v>
      </c>
      <c r="B58" s="5"/>
      <c r="C58" s="5"/>
      <c r="D58" s="5"/>
      <c r="E58" s="5"/>
      <c r="F58" s="5"/>
      <c r="G58" s="5"/>
      <c r="H58" s="5"/>
    </row>
    <row r="59" spans="1:9" x14ac:dyDescent="0.3">
      <c r="A59" s="5"/>
      <c r="B59" s="5" t="s">
        <v>499</v>
      </c>
      <c r="C59" s="5"/>
      <c r="D59" s="5"/>
      <c r="E59" s="5"/>
      <c r="F59" s="5"/>
      <c r="G59" s="5"/>
      <c r="H59" s="5"/>
    </row>
    <row r="60" spans="1:9" x14ac:dyDescent="0.3">
      <c r="A60" s="5"/>
      <c r="B60" s="5" t="s">
        <v>500</v>
      </c>
      <c r="C60" s="5"/>
      <c r="D60" s="5"/>
      <c r="E60" s="5"/>
      <c r="F60" s="5"/>
      <c r="G60" s="5"/>
      <c r="H60" s="5"/>
    </row>
    <row r="61" spans="1:9" x14ac:dyDescent="0.3">
      <c r="A61" s="5"/>
      <c r="B61" s="5" t="s">
        <v>501</v>
      </c>
      <c r="C61" s="5"/>
      <c r="D61" s="5"/>
      <c r="E61" s="5"/>
      <c r="F61" s="5"/>
      <c r="G61" s="5"/>
      <c r="H61" s="5"/>
    </row>
    <row r="62" spans="1:9" x14ac:dyDescent="0.3">
      <c r="A62" s="5" t="s">
        <v>502</v>
      </c>
      <c r="B62" s="5"/>
      <c r="C62" s="5"/>
      <c r="D62" s="5"/>
      <c r="E62" s="5"/>
      <c r="F62" s="5"/>
      <c r="G62" s="5"/>
      <c r="H62" s="5"/>
    </row>
    <row r="63" spans="1:9" x14ac:dyDescent="0.3">
      <c r="A63" s="5" t="s">
        <v>503</v>
      </c>
      <c r="B63" s="5"/>
      <c r="C63" s="5"/>
      <c r="D63" s="5"/>
      <c r="E63" s="5"/>
      <c r="F63" s="5"/>
      <c r="G63" s="5"/>
      <c r="H63" s="5"/>
    </row>
    <row r="64" spans="1:9" x14ac:dyDescent="0.3">
      <c r="A64" s="5" t="s">
        <v>504</v>
      </c>
      <c r="B64" s="5"/>
      <c r="C64" s="5"/>
      <c r="D64" s="5"/>
      <c r="E64" s="5"/>
      <c r="F64" s="5"/>
      <c r="G64" s="5"/>
      <c r="H64" s="5"/>
    </row>
    <row r="65" spans="1:8" x14ac:dyDescent="0.3">
      <c r="A65" s="5"/>
      <c r="B65" s="5"/>
      <c r="C65" s="5"/>
      <c r="D65" s="5"/>
      <c r="E65" s="5"/>
      <c r="F65" s="5"/>
      <c r="G65" s="5"/>
      <c r="H65" s="5"/>
    </row>
    <row r="66" spans="1:8" x14ac:dyDescent="0.3">
      <c r="A66" s="5" t="s">
        <v>505</v>
      </c>
      <c r="B66" s="5"/>
      <c r="C66" s="5"/>
      <c r="D66" s="5"/>
      <c r="E66" s="5"/>
      <c r="F66" s="5"/>
      <c r="G66" s="5"/>
      <c r="H66" s="5"/>
    </row>
    <row r="67" spans="1:8" x14ac:dyDescent="0.3">
      <c r="A67" s="176" t="s">
        <v>506</v>
      </c>
      <c r="B67" s="5"/>
      <c r="C67" s="5"/>
      <c r="D67" s="5"/>
      <c r="E67" s="5"/>
      <c r="F67" s="5"/>
      <c r="G67" s="5"/>
      <c r="H67" s="5"/>
    </row>
  </sheetData>
  <protectedRanges>
    <protectedRange sqref="E9:F54" name="Диапазон1"/>
  </protectedRanges>
  <mergeCells count="27">
    <mergeCell ref="F1:G1"/>
    <mergeCell ref="A44:A46"/>
    <mergeCell ref="B44:B46"/>
    <mergeCell ref="C44:C46"/>
    <mergeCell ref="A51:A54"/>
    <mergeCell ref="B51:B54"/>
    <mergeCell ref="C51:C54"/>
    <mergeCell ref="A32:A35"/>
    <mergeCell ref="B32:B35"/>
    <mergeCell ref="C32:C35"/>
    <mergeCell ref="A36:A40"/>
    <mergeCell ref="B36:B40"/>
    <mergeCell ref="C36:C40"/>
    <mergeCell ref="A16:A23"/>
    <mergeCell ref="B16:B23"/>
    <mergeCell ref="C16:C23"/>
    <mergeCell ref="A24:A31"/>
    <mergeCell ref="B24:B31"/>
    <mergeCell ref="C24:C31"/>
    <mergeCell ref="A2:G4"/>
    <mergeCell ref="A5:A6"/>
    <mergeCell ref="B5:B6"/>
    <mergeCell ref="C5:C6"/>
    <mergeCell ref="D5:D6"/>
    <mergeCell ref="A9:A15"/>
    <mergeCell ref="B9:B15"/>
    <mergeCell ref="C9:C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60"/>
  <sheetViews>
    <sheetView topLeftCell="A37" workbookViewId="0">
      <selection activeCell="H43" sqref="H43"/>
    </sheetView>
  </sheetViews>
  <sheetFormatPr defaultColWidth="8.77734375" defaultRowHeight="13.8" x14ac:dyDescent="0.3"/>
  <cols>
    <col min="1" max="1" width="7" style="5" customWidth="1"/>
    <col min="2" max="2" width="9.5546875" style="5" customWidth="1"/>
    <col min="3" max="3" width="8" style="5" customWidth="1"/>
    <col min="4" max="4" width="8.77734375" style="5" customWidth="1"/>
    <col min="5" max="5" width="20.77734375" style="5" customWidth="1"/>
    <col min="6" max="6" width="10.21875" style="5" customWidth="1"/>
    <col min="7" max="7" width="11.5546875" style="5" customWidth="1"/>
    <col min="8" max="16384" width="8.77734375" style="5"/>
  </cols>
  <sheetData>
    <row r="1" spans="1:8" x14ac:dyDescent="0.3">
      <c r="A1" s="123"/>
      <c r="B1" s="124" t="s">
        <v>90</v>
      </c>
      <c r="C1" s="123"/>
      <c r="D1" s="123"/>
      <c r="E1" s="124" t="s">
        <v>494</v>
      </c>
      <c r="F1" s="123"/>
      <c r="G1" s="123" t="s">
        <v>85</v>
      </c>
      <c r="H1" s="123"/>
    </row>
    <row r="2" spans="1:8" x14ac:dyDescent="0.3">
      <c r="A2" s="293" t="s">
        <v>82</v>
      </c>
      <c r="B2" s="293"/>
      <c r="C2" s="293"/>
      <c r="D2" s="293"/>
      <c r="E2" s="293"/>
      <c r="F2" s="293"/>
      <c r="G2" s="293"/>
      <c r="H2" s="293"/>
    </row>
    <row r="3" spans="1:8" x14ac:dyDescent="0.3">
      <c r="A3" s="293"/>
      <c r="B3" s="293"/>
      <c r="C3" s="293"/>
      <c r="D3" s="293"/>
      <c r="E3" s="293"/>
      <c r="F3" s="293"/>
      <c r="G3" s="293"/>
      <c r="H3" s="293"/>
    </row>
    <row r="4" spans="1:8" x14ac:dyDescent="0.3">
      <c r="A4" s="293"/>
      <c r="B4" s="293"/>
      <c r="C4" s="293"/>
      <c r="D4" s="293"/>
      <c r="E4" s="293"/>
      <c r="F4" s="293"/>
      <c r="G4" s="293"/>
      <c r="H4" s="293"/>
    </row>
    <row r="5" spans="1:8" ht="17.55" customHeight="1" thickBot="1" x14ac:dyDescent="0.35">
      <c r="A5" s="294"/>
      <c r="B5" s="294"/>
      <c r="C5" s="294"/>
      <c r="D5" s="294"/>
      <c r="E5" s="294"/>
      <c r="F5" s="294"/>
      <c r="G5" s="294"/>
      <c r="H5" s="294"/>
    </row>
    <row r="6" spans="1:8" ht="82.95" customHeight="1" x14ac:dyDescent="0.3">
      <c r="A6" s="312" t="s">
        <v>51</v>
      </c>
      <c r="B6" s="314" t="s">
        <v>11</v>
      </c>
      <c r="C6" s="47"/>
      <c r="D6" s="314" t="s">
        <v>52</v>
      </c>
      <c r="E6" s="314" t="s">
        <v>53</v>
      </c>
      <c r="F6" s="48" t="s">
        <v>54</v>
      </c>
      <c r="G6" s="48" t="s">
        <v>55</v>
      </c>
      <c r="H6" s="49" t="s">
        <v>14</v>
      </c>
    </row>
    <row r="7" spans="1:8" ht="11.55" customHeight="1" x14ac:dyDescent="0.3">
      <c r="A7" s="313"/>
      <c r="B7" s="315"/>
      <c r="C7" s="50"/>
      <c r="D7" s="315"/>
      <c r="E7" s="315"/>
      <c r="F7" s="51" t="s">
        <v>56</v>
      </c>
      <c r="G7" s="51" t="s">
        <v>6</v>
      </c>
      <c r="H7" s="52" t="s">
        <v>17</v>
      </c>
    </row>
    <row r="8" spans="1:8" x14ac:dyDescent="0.3">
      <c r="A8" s="53"/>
      <c r="B8" s="51"/>
      <c r="C8" s="50"/>
      <c r="D8" s="51"/>
      <c r="E8" s="51"/>
      <c r="F8" s="51" t="s">
        <v>18</v>
      </c>
      <c r="G8" s="51" t="s">
        <v>19</v>
      </c>
      <c r="H8" s="52" t="s">
        <v>20</v>
      </c>
    </row>
    <row r="9" spans="1:8" ht="26.4" x14ac:dyDescent="0.3">
      <c r="A9" s="54">
        <v>1</v>
      </c>
      <c r="B9" s="51">
        <f>+A9+1</f>
        <v>2</v>
      </c>
      <c r="C9" s="50"/>
      <c r="D9" s="51">
        <f>+B9+1</f>
        <v>3</v>
      </c>
      <c r="E9" s="51">
        <f>+D9+1</f>
        <v>4</v>
      </c>
      <c r="F9" s="51">
        <f>+E9+1</f>
        <v>5</v>
      </c>
      <c r="G9" s="51">
        <f>+F9+1</f>
        <v>6</v>
      </c>
      <c r="H9" s="52" t="s">
        <v>57</v>
      </c>
    </row>
    <row r="10" spans="1:8" x14ac:dyDescent="0.3">
      <c r="A10" s="310" t="s">
        <v>58</v>
      </c>
      <c r="B10" s="55">
        <v>1150</v>
      </c>
      <c r="C10" s="55">
        <v>1150</v>
      </c>
      <c r="D10" s="55" t="s">
        <v>59</v>
      </c>
      <c r="E10" s="55" t="s">
        <v>60</v>
      </c>
      <c r="F10" s="56"/>
      <c r="G10" s="56"/>
      <c r="H10" s="57">
        <f t="shared" ref="H10:H29" si="0">F10*G10/100</f>
        <v>0</v>
      </c>
    </row>
    <row r="11" spans="1:8" x14ac:dyDescent="0.3">
      <c r="A11" s="310"/>
      <c r="B11" s="55">
        <v>750</v>
      </c>
      <c r="C11" s="55">
        <v>750</v>
      </c>
      <c r="D11" s="55">
        <v>1</v>
      </c>
      <c r="E11" s="55" t="s">
        <v>60</v>
      </c>
      <c r="F11" s="56"/>
      <c r="G11" s="56"/>
      <c r="H11" s="57">
        <f t="shared" si="0"/>
        <v>0</v>
      </c>
    </row>
    <row r="12" spans="1:8" x14ac:dyDescent="0.3">
      <c r="A12" s="310"/>
      <c r="B12" s="311" t="s">
        <v>24</v>
      </c>
      <c r="C12" s="55" t="s">
        <v>61</v>
      </c>
      <c r="D12" s="311">
        <v>1</v>
      </c>
      <c r="E12" s="55" t="s">
        <v>60</v>
      </c>
      <c r="F12" s="56"/>
      <c r="G12" s="56"/>
      <c r="H12" s="57">
        <f t="shared" si="0"/>
        <v>0</v>
      </c>
    </row>
    <row r="13" spans="1:8" x14ac:dyDescent="0.3">
      <c r="A13" s="310"/>
      <c r="B13" s="311"/>
      <c r="C13" s="55" t="s">
        <v>61</v>
      </c>
      <c r="D13" s="311"/>
      <c r="E13" s="55" t="s">
        <v>62</v>
      </c>
      <c r="F13" s="56"/>
      <c r="G13" s="56"/>
      <c r="H13" s="57">
        <f t="shared" si="0"/>
        <v>0</v>
      </c>
    </row>
    <row r="14" spans="1:8" x14ac:dyDescent="0.3">
      <c r="A14" s="310"/>
      <c r="B14" s="311">
        <v>330</v>
      </c>
      <c r="C14" s="55">
        <v>330</v>
      </c>
      <c r="D14" s="311">
        <v>1</v>
      </c>
      <c r="E14" s="55" t="s">
        <v>60</v>
      </c>
      <c r="F14" s="56"/>
      <c r="G14" s="56"/>
      <c r="H14" s="57">
        <f t="shared" si="0"/>
        <v>0</v>
      </c>
    </row>
    <row r="15" spans="1:8" x14ac:dyDescent="0.3">
      <c r="A15" s="310"/>
      <c r="B15" s="311"/>
      <c r="C15" s="55">
        <v>330</v>
      </c>
      <c r="D15" s="311"/>
      <c r="E15" s="55" t="s">
        <v>62</v>
      </c>
      <c r="F15" s="56"/>
      <c r="G15" s="56"/>
      <c r="H15" s="57">
        <f t="shared" si="0"/>
        <v>0</v>
      </c>
    </row>
    <row r="16" spans="1:8" x14ac:dyDescent="0.3">
      <c r="A16" s="310"/>
      <c r="B16" s="311"/>
      <c r="C16" s="55">
        <v>330</v>
      </c>
      <c r="D16" s="311">
        <v>2</v>
      </c>
      <c r="E16" s="55" t="s">
        <v>60</v>
      </c>
      <c r="F16" s="56"/>
      <c r="G16" s="56"/>
      <c r="H16" s="57">
        <f t="shared" si="0"/>
        <v>0</v>
      </c>
    </row>
    <row r="17" spans="1:8" x14ac:dyDescent="0.3">
      <c r="A17" s="310"/>
      <c r="B17" s="311"/>
      <c r="C17" s="55">
        <v>330</v>
      </c>
      <c r="D17" s="311"/>
      <c r="E17" s="55" t="s">
        <v>62</v>
      </c>
      <c r="F17" s="56"/>
      <c r="G17" s="56"/>
      <c r="H17" s="57">
        <f t="shared" si="0"/>
        <v>0</v>
      </c>
    </row>
    <row r="18" spans="1:8" x14ac:dyDescent="0.3">
      <c r="A18" s="310"/>
      <c r="B18" s="311">
        <v>220</v>
      </c>
      <c r="C18" s="55">
        <v>220</v>
      </c>
      <c r="D18" s="311">
        <v>1</v>
      </c>
      <c r="E18" s="55" t="s">
        <v>63</v>
      </c>
      <c r="F18" s="56"/>
      <c r="G18" s="56"/>
      <c r="H18" s="57">
        <f t="shared" si="0"/>
        <v>0</v>
      </c>
    </row>
    <row r="19" spans="1:8" x14ac:dyDescent="0.3">
      <c r="A19" s="310"/>
      <c r="B19" s="311"/>
      <c r="C19" s="55">
        <v>220</v>
      </c>
      <c r="D19" s="311"/>
      <c r="E19" s="55" t="s">
        <v>60</v>
      </c>
      <c r="F19" s="56"/>
      <c r="G19" s="56"/>
      <c r="H19" s="57">
        <f t="shared" si="0"/>
        <v>0</v>
      </c>
    </row>
    <row r="20" spans="1:8" x14ac:dyDescent="0.3">
      <c r="A20" s="310"/>
      <c r="B20" s="311"/>
      <c r="C20" s="55">
        <v>220</v>
      </c>
      <c r="D20" s="311"/>
      <c r="E20" s="55" t="s">
        <v>62</v>
      </c>
      <c r="F20" s="56"/>
      <c r="G20" s="56"/>
      <c r="H20" s="57">
        <f t="shared" si="0"/>
        <v>0</v>
      </c>
    </row>
    <row r="21" spans="1:8" x14ac:dyDescent="0.3">
      <c r="A21" s="310"/>
      <c r="B21" s="311"/>
      <c r="C21" s="55">
        <v>220</v>
      </c>
      <c r="D21" s="311">
        <v>2</v>
      </c>
      <c r="E21" s="55" t="s">
        <v>60</v>
      </c>
      <c r="F21" s="56"/>
      <c r="G21" s="56"/>
      <c r="H21" s="57">
        <f t="shared" si="0"/>
        <v>0</v>
      </c>
    </row>
    <row r="22" spans="1:8" x14ac:dyDescent="0.3">
      <c r="A22" s="310"/>
      <c r="B22" s="311"/>
      <c r="C22" s="55">
        <v>220</v>
      </c>
      <c r="D22" s="311"/>
      <c r="E22" s="55" t="s">
        <v>62</v>
      </c>
      <c r="F22" s="56"/>
      <c r="G22" s="56"/>
      <c r="H22" s="57">
        <f t="shared" si="0"/>
        <v>0</v>
      </c>
    </row>
    <row r="23" spans="1:8" x14ac:dyDescent="0.3">
      <c r="A23" s="310"/>
      <c r="B23" s="311" t="s">
        <v>25</v>
      </c>
      <c r="C23" s="55" t="s">
        <v>64</v>
      </c>
      <c r="D23" s="311">
        <v>1</v>
      </c>
      <c r="E23" s="55" t="s">
        <v>63</v>
      </c>
      <c r="F23" s="56"/>
      <c r="G23" s="56"/>
      <c r="H23" s="57">
        <f t="shared" si="0"/>
        <v>0</v>
      </c>
    </row>
    <row r="24" spans="1:8" x14ac:dyDescent="0.3">
      <c r="A24" s="310"/>
      <c r="B24" s="311"/>
      <c r="C24" s="55" t="s">
        <v>64</v>
      </c>
      <c r="D24" s="311"/>
      <c r="E24" s="55" t="s">
        <v>60</v>
      </c>
      <c r="F24" s="56"/>
      <c r="G24" s="56"/>
      <c r="H24" s="57">
        <f t="shared" si="0"/>
        <v>0</v>
      </c>
    </row>
    <row r="25" spans="1:8" x14ac:dyDescent="0.3">
      <c r="A25" s="310"/>
      <c r="B25" s="311"/>
      <c r="C25" s="55" t="s">
        <v>64</v>
      </c>
      <c r="D25" s="311"/>
      <c r="E25" s="55" t="s">
        <v>62</v>
      </c>
      <c r="F25" s="56"/>
      <c r="G25" s="56"/>
      <c r="H25" s="57">
        <f t="shared" si="0"/>
        <v>0</v>
      </c>
    </row>
    <row r="26" spans="1:8" x14ac:dyDescent="0.3">
      <c r="A26" s="310"/>
      <c r="B26" s="311"/>
      <c r="C26" s="55" t="s">
        <v>64</v>
      </c>
      <c r="D26" s="311">
        <v>2</v>
      </c>
      <c r="E26" s="55" t="s">
        <v>60</v>
      </c>
      <c r="F26" s="56"/>
      <c r="G26" s="56"/>
      <c r="H26" s="57">
        <f t="shared" si="0"/>
        <v>0</v>
      </c>
    </row>
    <row r="27" spans="1:8" x14ac:dyDescent="0.3">
      <c r="A27" s="310"/>
      <c r="B27" s="311"/>
      <c r="C27" s="55" t="s">
        <v>64</v>
      </c>
      <c r="D27" s="311"/>
      <c r="E27" s="55" t="s">
        <v>62</v>
      </c>
      <c r="F27" s="56"/>
      <c r="G27" s="56"/>
      <c r="H27" s="57">
        <f t="shared" si="0"/>
        <v>0</v>
      </c>
    </row>
    <row r="28" spans="1:8" x14ac:dyDescent="0.3">
      <c r="A28" s="310" t="s">
        <v>65</v>
      </c>
      <c r="B28" s="55">
        <v>220</v>
      </c>
      <c r="C28" s="55">
        <v>220</v>
      </c>
      <c r="D28" s="55" t="s">
        <v>59</v>
      </c>
      <c r="E28" s="55" t="s">
        <v>59</v>
      </c>
      <c r="F28" s="56"/>
      <c r="G28" s="56"/>
      <c r="H28" s="57">
        <f t="shared" si="0"/>
        <v>0</v>
      </c>
    </row>
    <row r="29" spans="1:8" x14ac:dyDescent="0.3">
      <c r="A29" s="310"/>
      <c r="B29" s="55">
        <v>110</v>
      </c>
      <c r="C29" s="55">
        <v>110</v>
      </c>
      <c r="D29" s="55" t="s">
        <v>59</v>
      </c>
      <c r="E29" s="55" t="s">
        <v>59</v>
      </c>
      <c r="F29" s="56"/>
      <c r="G29" s="56"/>
      <c r="H29" s="57">
        <f t="shared" si="0"/>
        <v>0</v>
      </c>
    </row>
    <row r="30" spans="1:8" x14ac:dyDescent="0.3">
      <c r="A30" s="58" t="s">
        <v>66</v>
      </c>
      <c r="B30" s="55"/>
      <c r="C30" s="55"/>
      <c r="D30" s="55"/>
      <c r="E30" s="55"/>
      <c r="F30" s="59"/>
      <c r="G30" s="59"/>
      <c r="H30" s="60">
        <f>SUM(H18:H29)</f>
        <v>0</v>
      </c>
    </row>
    <row r="31" spans="1:8" x14ac:dyDescent="0.3">
      <c r="A31" s="310" t="s">
        <v>58</v>
      </c>
      <c r="B31" s="311">
        <v>35</v>
      </c>
      <c r="C31" s="55">
        <v>35</v>
      </c>
      <c r="D31" s="311">
        <v>1</v>
      </c>
      <c r="E31" s="55" t="s">
        <v>63</v>
      </c>
      <c r="F31" s="61"/>
      <c r="G31" s="61"/>
      <c r="H31" s="57">
        <f t="shared" ref="H31:H40" si="1">F31*G31/100</f>
        <v>0</v>
      </c>
    </row>
    <row r="32" spans="1:8" x14ac:dyDescent="0.3">
      <c r="A32" s="310"/>
      <c r="B32" s="311"/>
      <c r="C32" s="55">
        <v>35</v>
      </c>
      <c r="D32" s="311"/>
      <c r="E32" s="55" t="s">
        <v>60</v>
      </c>
      <c r="F32" s="61">
        <v>140</v>
      </c>
      <c r="G32" s="61">
        <v>16.309999999999999</v>
      </c>
      <c r="H32" s="57">
        <f t="shared" si="1"/>
        <v>22.833999999999996</v>
      </c>
    </row>
    <row r="33" spans="1:8" x14ac:dyDescent="0.3">
      <c r="A33" s="310"/>
      <c r="B33" s="311"/>
      <c r="C33" s="55">
        <v>35</v>
      </c>
      <c r="D33" s="311"/>
      <c r="E33" s="55" t="s">
        <v>62</v>
      </c>
      <c r="F33" s="61">
        <v>120</v>
      </c>
      <c r="G33" s="61">
        <v>24.37</v>
      </c>
      <c r="H33" s="57">
        <f t="shared" si="1"/>
        <v>29.244</v>
      </c>
    </row>
    <row r="34" spans="1:8" x14ac:dyDescent="0.3">
      <c r="A34" s="310"/>
      <c r="B34" s="311"/>
      <c r="C34" s="55">
        <v>35</v>
      </c>
      <c r="D34" s="311">
        <v>2</v>
      </c>
      <c r="E34" s="55" t="s">
        <v>60</v>
      </c>
      <c r="F34" s="61"/>
      <c r="G34" s="61"/>
      <c r="H34" s="57"/>
    </row>
    <row r="35" spans="1:8" x14ac:dyDescent="0.3">
      <c r="A35" s="310"/>
      <c r="B35" s="311"/>
      <c r="C35" s="55">
        <v>35</v>
      </c>
      <c r="D35" s="311"/>
      <c r="E35" s="55" t="s">
        <v>62</v>
      </c>
      <c r="F35" s="61"/>
      <c r="G35" s="61"/>
      <c r="H35" s="57"/>
    </row>
    <row r="36" spans="1:8" x14ac:dyDescent="0.3">
      <c r="A36" s="310"/>
      <c r="B36" s="311" t="s">
        <v>67</v>
      </c>
      <c r="C36" s="55" t="s">
        <v>68</v>
      </c>
      <c r="D36" s="311" t="s">
        <v>59</v>
      </c>
      <c r="E36" s="55" t="s">
        <v>63</v>
      </c>
      <c r="F36" s="61">
        <v>160</v>
      </c>
      <c r="G36" s="62">
        <v>2.1800000000000002</v>
      </c>
      <c r="H36" s="57">
        <f t="shared" si="1"/>
        <v>3.488</v>
      </c>
    </row>
    <row r="37" spans="1:8" x14ac:dyDescent="0.3">
      <c r="A37" s="310"/>
      <c r="B37" s="311"/>
      <c r="C37" s="55" t="s">
        <v>68</v>
      </c>
      <c r="D37" s="311"/>
      <c r="E37" s="55" t="s">
        <v>69</v>
      </c>
      <c r="F37" s="61">
        <v>140</v>
      </c>
      <c r="G37" s="61">
        <v>52.89</v>
      </c>
      <c r="H37" s="57">
        <f t="shared" si="1"/>
        <v>74.046000000000006</v>
      </c>
    </row>
    <row r="38" spans="1:8" x14ac:dyDescent="0.3">
      <c r="A38" s="310"/>
      <c r="B38" s="311"/>
      <c r="C38" s="55" t="s">
        <v>68</v>
      </c>
      <c r="D38" s="311"/>
      <c r="E38" s="55" t="s">
        <v>70</v>
      </c>
      <c r="F38" s="61">
        <v>110</v>
      </c>
      <c r="G38" s="61">
        <v>20.12</v>
      </c>
      <c r="H38" s="57">
        <f t="shared" si="1"/>
        <v>22.132000000000001</v>
      </c>
    </row>
    <row r="39" spans="1:8" x14ac:dyDescent="0.3">
      <c r="A39" s="310" t="s">
        <v>65</v>
      </c>
      <c r="B39" s="55" t="s">
        <v>71</v>
      </c>
      <c r="C39" s="55" t="s">
        <v>72</v>
      </c>
      <c r="D39" s="55" t="s">
        <v>59</v>
      </c>
      <c r="E39" s="55" t="s">
        <v>59</v>
      </c>
      <c r="F39" s="61"/>
      <c r="G39" s="61"/>
      <c r="H39" s="57">
        <f t="shared" si="1"/>
        <v>0</v>
      </c>
    </row>
    <row r="40" spans="1:8" x14ac:dyDescent="0.3">
      <c r="A40" s="310"/>
      <c r="B40" s="55" t="s">
        <v>73</v>
      </c>
      <c r="C40" s="55" t="s">
        <v>74</v>
      </c>
      <c r="D40" s="55" t="s">
        <v>59</v>
      </c>
      <c r="E40" s="55" t="s">
        <v>59</v>
      </c>
      <c r="F40" s="61">
        <v>350</v>
      </c>
      <c r="G40" s="62">
        <v>23.08</v>
      </c>
      <c r="H40" s="57">
        <f t="shared" si="1"/>
        <v>80.779999999999987</v>
      </c>
    </row>
    <row r="41" spans="1:8" x14ac:dyDescent="0.3">
      <c r="A41" s="58" t="s">
        <v>75</v>
      </c>
      <c r="B41" s="55"/>
      <c r="C41" s="55"/>
      <c r="D41" s="55"/>
      <c r="E41" s="55"/>
      <c r="F41" s="59"/>
      <c r="G41" s="59"/>
      <c r="H41" s="60">
        <f>H32+H33</f>
        <v>52.077999999999996</v>
      </c>
    </row>
    <row r="42" spans="1:8" x14ac:dyDescent="0.3">
      <c r="A42" s="58" t="s">
        <v>76</v>
      </c>
      <c r="B42" s="55"/>
      <c r="C42" s="55"/>
      <c r="D42" s="55"/>
      <c r="E42" s="55"/>
      <c r="F42" s="59"/>
      <c r="G42" s="59"/>
      <c r="H42" s="177">
        <v>180.44</v>
      </c>
    </row>
    <row r="43" spans="1:8" x14ac:dyDescent="0.3">
      <c r="A43" s="310" t="s">
        <v>58</v>
      </c>
      <c r="B43" s="311" t="s">
        <v>77</v>
      </c>
      <c r="C43" s="55" t="s">
        <v>78</v>
      </c>
      <c r="D43" s="311" t="s">
        <v>59</v>
      </c>
      <c r="E43" s="55" t="s">
        <v>63</v>
      </c>
      <c r="F43" s="61">
        <v>260</v>
      </c>
      <c r="G43" s="62">
        <v>6.86</v>
      </c>
      <c r="H43" s="57">
        <f t="shared" ref="H43:H46" si="2">F43*G43/100</f>
        <v>17.836000000000002</v>
      </c>
    </row>
    <row r="44" spans="1:8" x14ac:dyDescent="0.3">
      <c r="A44" s="310"/>
      <c r="B44" s="311"/>
      <c r="C44" s="55" t="s">
        <v>78</v>
      </c>
      <c r="D44" s="311"/>
      <c r="E44" s="55" t="s">
        <v>69</v>
      </c>
      <c r="F44" s="61">
        <v>220</v>
      </c>
      <c r="G44" s="61">
        <v>137.69999999999999</v>
      </c>
      <c r="H44" s="57">
        <f t="shared" si="2"/>
        <v>302.93999999999994</v>
      </c>
    </row>
    <row r="45" spans="1:8" x14ac:dyDescent="0.3">
      <c r="A45" s="310"/>
      <c r="B45" s="311"/>
      <c r="C45" s="55" t="s">
        <v>78</v>
      </c>
      <c r="D45" s="311"/>
      <c r="E45" s="55" t="s">
        <v>70</v>
      </c>
      <c r="F45" s="61">
        <v>150</v>
      </c>
      <c r="G45" s="61">
        <v>8.32</v>
      </c>
      <c r="H45" s="57">
        <f t="shared" si="2"/>
        <v>12.48</v>
      </c>
    </row>
    <row r="46" spans="1:8" x14ac:dyDescent="0.3">
      <c r="A46" s="58" t="s">
        <v>65</v>
      </c>
      <c r="B46" s="55" t="s">
        <v>79</v>
      </c>
      <c r="C46" s="55" t="s">
        <v>80</v>
      </c>
      <c r="D46" s="55" t="s">
        <v>59</v>
      </c>
      <c r="E46" s="55" t="s">
        <v>59</v>
      </c>
      <c r="F46" s="61">
        <v>270</v>
      </c>
      <c r="G46" s="62">
        <v>23.92</v>
      </c>
      <c r="H46" s="57">
        <f t="shared" si="2"/>
        <v>64.584000000000003</v>
      </c>
    </row>
    <row r="47" spans="1:8" ht="14.4" thickBot="1" x14ac:dyDescent="0.35">
      <c r="A47" s="64" t="s">
        <v>81</v>
      </c>
      <c r="B47" s="65"/>
      <c r="C47" s="65"/>
      <c r="D47" s="65"/>
      <c r="E47" s="65"/>
      <c r="F47" s="66"/>
      <c r="G47" s="66"/>
      <c r="H47" s="67">
        <f>SUM(H43:H46)</f>
        <v>397.84</v>
      </c>
    </row>
    <row r="49" spans="1:7" x14ac:dyDescent="0.3">
      <c r="B49" s="68"/>
      <c r="C49" s="68"/>
      <c r="D49" s="68"/>
      <c r="E49" s="68"/>
      <c r="F49" s="68"/>
      <c r="G49" s="68"/>
    </row>
    <row r="50" spans="1:7" x14ac:dyDescent="0.3">
      <c r="A50" s="5" t="s">
        <v>497</v>
      </c>
      <c r="B50" s="68"/>
      <c r="C50" s="68"/>
      <c r="D50" s="68"/>
      <c r="E50" s="68"/>
      <c r="F50" s="68"/>
      <c r="G50" s="68"/>
    </row>
    <row r="51" spans="1:7" x14ac:dyDescent="0.3">
      <c r="A51" s="5" t="s">
        <v>498</v>
      </c>
    </row>
    <row r="52" spans="1:7" x14ac:dyDescent="0.3">
      <c r="B52" s="5" t="s">
        <v>499</v>
      </c>
    </row>
    <row r="53" spans="1:7" x14ac:dyDescent="0.3">
      <c r="B53" s="5" t="s">
        <v>500</v>
      </c>
    </row>
    <row r="54" spans="1:7" x14ac:dyDescent="0.3">
      <c r="B54" s="5" t="s">
        <v>501</v>
      </c>
    </row>
    <row r="55" spans="1:7" x14ac:dyDescent="0.3">
      <c r="A55" s="5" t="s">
        <v>502</v>
      </c>
    </row>
    <row r="56" spans="1:7" x14ac:dyDescent="0.3">
      <c r="A56" s="5" t="s">
        <v>503</v>
      </c>
    </row>
    <row r="57" spans="1:7" x14ac:dyDescent="0.3">
      <c r="A57" s="5" t="s">
        <v>504</v>
      </c>
    </row>
    <row r="59" spans="1:7" x14ac:dyDescent="0.3">
      <c r="A59" s="5" t="s">
        <v>505</v>
      </c>
    </row>
    <row r="60" spans="1:7" x14ac:dyDescent="0.3">
      <c r="A60" s="176" t="s">
        <v>506</v>
      </c>
    </row>
  </sheetData>
  <protectedRanges>
    <protectedRange sqref="F10:G47" name="Диапазон1"/>
  </protectedRanges>
  <mergeCells count="28">
    <mergeCell ref="A39:A40"/>
    <mergeCell ref="A43:A45"/>
    <mergeCell ref="B43:B45"/>
    <mergeCell ref="D43:D45"/>
    <mergeCell ref="A28:A29"/>
    <mergeCell ref="A31:A38"/>
    <mergeCell ref="B31:B35"/>
    <mergeCell ref="D31:D33"/>
    <mergeCell ref="D34:D35"/>
    <mergeCell ref="B36:B38"/>
    <mergeCell ref="D36:D38"/>
    <mergeCell ref="A2:H5"/>
    <mergeCell ref="A6:A7"/>
    <mergeCell ref="B6:B7"/>
    <mergeCell ref="D6:D7"/>
    <mergeCell ref="E6:E7"/>
    <mergeCell ref="A10:A27"/>
    <mergeCell ref="B12:B13"/>
    <mergeCell ref="D12:D13"/>
    <mergeCell ref="B14:B17"/>
    <mergeCell ref="D14:D15"/>
    <mergeCell ref="D16:D17"/>
    <mergeCell ref="B18:B22"/>
    <mergeCell ref="D18:D20"/>
    <mergeCell ref="D21:D22"/>
    <mergeCell ref="B23:B27"/>
    <mergeCell ref="D23:D25"/>
    <mergeCell ref="D26:D2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H60"/>
  <sheetViews>
    <sheetView topLeftCell="A43" workbookViewId="0">
      <selection activeCell="A50" sqref="A50:H60"/>
    </sheetView>
  </sheetViews>
  <sheetFormatPr defaultColWidth="8.77734375" defaultRowHeight="13.8" x14ac:dyDescent="0.3"/>
  <cols>
    <col min="1" max="1" width="7" style="5" customWidth="1"/>
    <col min="2" max="2" width="9.5546875" style="5" customWidth="1"/>
    <col min="3" max="3" width="8" style="5" customWidth="1"/>
    <col min="4" max="4" width="8.77734375" style="5" customWidth="1"/>
    <col min="5" max="5" width="20.77734375" style="5" customWidth="1"/>
    <col min="6" max="6" width="10.21875" style="5" customWidth="1"/>
    <col min="7" max="7" width="11.5546875" style="5" customWidth="1"/>
    <col min="8" max="16384" width="8.77734375" style="5"/>
  </cols>
  <sheetData>
    <row r="1" spans="1:8" x14ac:dyDescent="0.3">
      <c r="A1" s="123"/>
      <c r="B1" s="124" t="s">
        <v>90</v>
      </c>
      <c r="C1" s="123"/>
      <c r="D1" s="123"/>
      <c r="E1" s="124" t="s">
        <v>494</v>
      </c>
      <c r="F1" s="123"/>
      <c r="G1" s="123" t="s">
        <v>85</v>
      </c>
      <c r="H1" s="123"/>
    </row>
    <row r="2" spans="1:8" x14ac:dyDescent="0.3">
      <c r="A2" s="316" t="s">
        <v>82</v>
      </c>
      <c r="B2" s="316"/>
      <c r="C2" s="316"/>
      <c r="D2" s="316"/>
      <c r="E2" s="316"/>
      <c r="F2" s="316"/>
      <c r="G2" s="316"/>
      <c r="H2" s="316"/>
    </row>
    <row r="3" spans="1:8" x14ac:dyDescent="0.3">
      <c r="A3" s="316"/>
      <c r="B3" s="316"/>
      <c r="C3" s="316"/>
      <c r="D3" s="316"/>
      <c r="E3" s="316"/>
      <c r="F3" s="316"/>
      <c r="G3" s="316"/>
      <c r="H3" s="316"/>
    </row>
    <row r="4" spans="1:8" x14ac:dyDescent="0.3">
      <c r="A4" s="316"/>
      <c r="B4" s="316"/>
      <c r="C4" s="316"/>
      <c r="D4" s="316"/>
      <c r="E4" s="316"/>
      <c r="F4" s="316"/>
      <c r="G4" s="316"/>
      <c r="H4" s="316"/>
    </row>
    <row r="5" spans="1:8" ht="17.55" customHeight="1" x14ac:dyDescent="0.3">
      <c r="A5" s="316"/>
      <c r="B5" s="316"/>
      <c r="C5" s="316"/>
      <c r="D5" s="316"/>
      <c r="E5" s="316"/>
      <c r="F5" s="316"/>
      <c r="G5" s="316"/>
      <c r="H5" s="316"/>
    </row>
    <row r="6" spans="1:8" ht="17.55" customHeight="1" thickBot="1" x14ac:dyDescent="0.35">
      <c r="A6" s="294" t="s">
        <v>496</v>
      </c>
      <c r="B6" s="294"/>
      <c r="C6" s="294"/>
      <c r="D6" s="294"/>
      <c r="E6" s="294"/>
      <c r="F6" s="294"/>
      <c r="G6" s="294"/>
      <c r="H6" s="294"/>
    </row>
    <row r="7" spans="1:8" ht="82.95" customHeight="1" x14ac:dyDescent="0.3">
      <c r="A7" s="312" t="s">
        <v>51</v>
      </c>
      <c r="B7" s="314" t="s">
        <v>11</v>
      </c>
      <c r="C7" s="47"/>
      <c r="D7" s="314" t="s">
        <v>52</v>
      </c>
      <c r="E7" s="314" t="s">
        <v>53</v>
      </c>
      <c r="F7" s="173" t="s">
        <v>54</v>
      </c>
      <c r="G7" s="173" t="s">
        <v>55</v>
      </c>
      <c r="H7" s="49" t="s">
        <v>14</v>
      </c>
    </row>
    <row r="8" spans="1:8" ht="11.55" customHeight="1" x14ac:dyDescent="0.3">
      <c r="A8" s="313"/>
      <c r="B8" s="315"/>
      <c r="C8" s="50"/>
      <c r="D8" s="315"/>
      <c r="E8" s="315"/>
      <c r="F8" s="174" t="s">
        <v>56</v>
      </c>
      <c r="G8" s="174" t="s">
        <v>6</v>
      </c>
      <c r="H8" s="52" t="s">
        <v>17</v>
      </c>
    </row>
    <row r="9" spans="1:8" x14ac:dyDescent="0.3">
      <c r="A9" s="172"/>
      <c r="B9" s="174"/>
      <c r="C9" s="50"/>
      <c r="D9" s="174"/>
      <c r="E9" s="174"/>
      <c r="F9" s="174" t="s">
        <v>18</v>
      </c>
      <c r="G9" s="174" t="s">
        <v>19</v>
      </c>
      <c r="H9" s="52" t="s">
        <v>20</v>
      </c>
    </row>
    <row r="10" spans="1:8" ht="26.4" x14ac:dyDescent="0.3">
      <c r="A10" s="54">
        <v>1</v>
      </c>
      <c r="B10" s="174">
        <f>+A10+1</f>
        <v>2</v>
      </c>
      <c r="C10" s="50"/>
      <c r="D10" s="174">
        <f>+B10+1</f>
        <v>3</v>
      </c>
      <c r="E10" s="174">
        <f>+D10+1</f>
        <v>4</v>
      </c>
      <c r="F10" s="174">
        <f>+E10+1</f>
        <v>5</v>
      </c>
      <c r="G10" s="174">
        <f>+F10+1</f>
        <v>6</v>
      </c>
      <c r="H10" s="52" t="s">
        <v>57</v>
      </c>
    </row>
    <row r="11" spans="1:8" x14ac:dyDescent="0.3">
      <c r="A11" s="310" t="s">
        <v>58</v>
      </c>
      <c r="B11" s="171">
        <v>1150</v>
      </c>
      <c r="C11" s="171">
        <v>1150</v>
      </c>
      <c r="D11" s="171" t="s">
        <v>59</v>
      </c>
      <c r="E11" s="171" t="s">
        <v>60</v>
      </c>
      <c r="F11" s="56"/>
      <c r="G11" s="56"/>
      <c r="H11" s="57">
        <f t="shared" ref="H11:H30" si="0">F11*G11/100</f>
        <v>0</v>
      </c>
    </row>
    <row r="12" spans="1:8" x14ac:dyDescent="0.3">
      <c r="A12" s="310"/>
      <c r="B12" s="171">
        <v>750</v>
      </c>
      <c r="C12" s="171">
        <v>750</v>
      </c>
      <c r="D12" s="171">
        <v>1</v>
      </c>
      <c r="E12" s="171" t="s">
        <v>60</v>
      </c>
      <c r="F12" s="56"/>
      <c r="G12" s="56"/>
      <c r="H12" s="57">
        <f t="shared" si="0"/>
        <v>0</v>
      </c>
    </row>
    <row r="13" spans="1:8" x14ac:dyDescent="0.3">
      <c r="A13" s="310"/>
      <c r="B13" s="311" t="s">
        <v>24</v>
      </c>
      <c r="C13" s="171" t="s">
        <v>61</v>
      </c>
      <c r="D13" s="311">
        <v>1</v>
      </c>
      <c r="E13" s="171" t="s">
        <v>60</v>
      </c>
      <c r="F13" s="56"/>
      <c r="G13" s="56"/>
      <c r="H13" s="57">
        <f t="shared" si="0"/>
        <v>0</v>
      </c>
    </row>
    <row r="14" spans="1:8" x14ac:dyDescent="0.3">
      <c r="A14" s="310"/>
      <c r="B14" s="311"/>
      <c r="C14" s="171" t="s">
        <v>61</v>
      </c>
      <c r="D14" s="311"/>
      <c r="E14" s="171" t="s">
        <v>62</v>
      </c>
      <c r="F14" s="56"/>
      <c r="G14" s="56"/>
      <c r="H14" s="57">
        <f t="shared" si="0"/>
        <v>0</v>
      </c>
    </row>
    <row r="15" spans="1:8" x14ac:dyDescent="0.3">
      <c r="A15" s="310"/>
      <c r="B15" s="311">
        <v>330</v>
      </c>
      <c r="C15" s="171">
        <v>330</v>
      </c>
      <c r="D15" s="311">
        <v>1</v>
      </c>
      <c r="E15" s="171" t="s">
        <v>60</v>
      </c>
      <c r="F15" s="56"/>
      <c r="G15" s="56"/>
      <c r="H15" s="57">
        <f t="shared" si="0"/>
        <v>0</v>
      </c>
    </row>
    <row r="16" spans="1:8" x14ac:dyDescent="0.3">
      <c r="A16" s="310"/>
      <c r="B16" s="311"/>
      <c r="C16" s="171">
        <v>330</v>
      </c>
      <c r="D16" s="311"/>
      <c r="E16" s="171" t="s">
        <v>62</v>
      </c>
      <c r="F16" s="56"/>
      <c r="G16" s="56"/>
      <c r="H16" s="57">
        <f t="shared" si="0"/>
        <v>0</v>
      </c>
    </row>
    <row r="17" spans="1:8" x14ac:dyDescent="0.3">
      <c r="A17" s="310"/>
      <c r="B17" s="311"/>
      <c r="C17" s="171">
        <v>330</v>
      </c>
      <c r="D17" s="311">
        <v>2</v>
      </c>
      <c r="E17" s="171" t="s">
        <v>60</v>
      </c>
      <c r="F17" s="56"/>
      <c r="G17" s="56"/>
      <c r="H17" s="57">
        <f t="shared" si="0"/>
        <v>0</v>
      </c>
    </row>
    <row r="18" spans="1:8" x14ac:dyDescent="0.3">
      <c r="A18" s="310"/>
      <c r="B18" s="311"/>
      <c r="C18" s="171">
        <v>330</v>
      </c>
      <c r="D18" s="311"/>
      <c r="E18" s="171" t="s">
        <v>62</v>
      </c>
      <c r="F18" s="56"/>
      <c r="G18" s="56"/>
      <c r="H18" s="57">
        <f t="shared" si="0"/>
        <v>0</v>
      </c>
    </row>
    <row r="19" spans="1:8" x14ac:dyDescent="0.3">
      <c r="A19" s="310"/>
      <c r="B19" s="311">
        <v>220</v>
      </c>
      <c r="C19" s="171">
        <v>220</v>
      </c>
      <c r="D19" s="311">
        <v>1</v>
      </c>
      <c r="E19" s="171" t="s">
        <v>63</v>
      </c>
      <c r="F19" s="56"/>
      <c r="G19" s="56"/>
      <c r="H19" s="57">
        <f t="shared" si="0"/>
        <v>0</v>
      </c>
    </row>
    <row r="20" spans="1:8" x14ac:dyDescent="0.3">
      <c r="A20" s="310"/>
      <c r="B20" s="311"/>
      <c r="C20" s="171">
        <v>220</v>
      </c>
      <c r="D20" s="311"/>
      <c r="E20" s="171" t="s">
        <v>60</v>
      </c>
      <c r="F20" s="56"/>
      <c r="G20" s="56"/>
      <c r="H20" s="57">
        <f t="shared" si="0"/>
        <v>0</v>
      </c>
    </row>
    <row r="21" spans="1:8" x14ac:dyDescent="0.3">
      <c r="A21" s="310"/>
      <c r="B21" s="311"/>
      <c r="C21" s="171">
        <v>220</v>
      </c>
      <c r="D21" s="311"/>
      <c r="E21" s="171" t="s">
        <v>62</v>
      </c>
      <c r="F21" s="56"/>
      <c r="G21" s="56"/>
      <c r="H21" s="57">
        <f t="shared" si="0"/>
        <v>0</v>
      </c>
    </row>
    <row r="22" spans="1:8" x14ac:dyDescent="0.3">
      <c r="A22" s="310"/>
      <c r="B22" s="311"/>
      <c r="C22" s="171">
        <v>220</v>
      </c>
      <c r="D22" s="311">
        <v>2</v>
      </c>
      <c r="E22" s="171" t="s">
        <v>60</v>
      </c>
      <c r="F22" s="56"/>
      <c r="G22" s="56"/>
      <c r="H22" s="57">
        <f t="shared" si="0"/>
        <v>0</v>
      </c>
    </row>
    <row r="23" spans="1:8" x14ac:dyDescent="0.3">
      <c r="A23" s="310"/>
      <c r="B23" s="311"/>
      <c r="C23" s="171">
        <v>220</v>
      </c>
      <c r="D23" s="311"/>
      <c r="E23" s="171" t="s">
        <v>62</v>
      </c>
      <c r="F23" s="56"/>
      <c r="G23" s="56"/>
      <c r="H23" s="57">
        <f t="shared" si="0"/>
        <v>0</v>
      </c>
    </row>
    <row r="24" spans="1:8" x14ac:dyDescent="0.3">
      <c r="A24" s="310"/>
      <c r="B24" s="311" t="s">
        <v>25</v>
      </c>
      <c r="C24" s="171" t="s">
        <v>64</v>
      </c>
      <c r="D24" s="311">
        <v>1</v>
      </c>
      <c r="E24" s="171" t="s">
        <v>63</v>
      </c>
      <c r="F24" s="56"/>
      <c r="G24" s="56"/>
      <c r="H24" s="57">
        <f t="shared" si="0"/>
        <v>0</v>
      </c>
    </row>
    <row r="25" spans="1:8" x14ac:dyDescent="0.3">
      <c r="A25" s="310"/>
      <c r="B25" s="311"/>
      <c r="C25" s="171" t="s">
        <v>64</v>
      </c>
      <c r="D25" s="311"/>
      <c r="E25" s="171" t="s">
        <v>60</v>
      </c>
      <c r="F25" s="56"/>
      <c r="G25" s="56"/>
      <c r="H25" s="57">
        <f t="shared" si="0"/>
        <v>0</v>
      </c>
    </row>
    <row r="26" spans="1:8" x14ac:dyDescent="0.3">
      <c r="A26" s="310"/>
      <c r="B26" s="311"/>
      <c r="C26" s="171" t="s">
        <v>64</v>
      </c>
      <c r="D26" s="311"/>
      <c r="E26" s="171" t="s">
        <v>62</v>
      </c>
      <c r="F26" s="56"/>
      <c r="G26" s="56"/>
      <c r="H26" s="57">
        <f t="shared" si="0"/>
        <v>0</v>
      </c>
    </row>
    <row r="27" spans="1:8" x14ac:dyDescent="0.3">
      <c r="A27" s="310"/>
      <c r="B27" s="311"/>
      <c r="C27" s="171" t="s">
        <v>64</v>
      </c>
      <c r="D27" s="311">
        <v>2</v>
      </c>
      <c r="E27" s="171" t="s">
        <v>60</v>
      </c>
      <c r="F27" s="56"/>
      <c r="G27" s="56"/>
      <c r="H27" s="57">
        <f t="shared" si="0"/>
        <v>0</v>
      </c>
    </row>
    <row r="28" spans="1:8" x14ac:dyDescent="0.3">
      <c r="A28" s="310"/>
      <c r="B28" s="311"/>
      <c r="C28" s="171" t="s">
        <v>64</v>
      </c>
      <c r="D28" s="311"/>
      <c r="E28" s="171" t="s">
        <v>62</v>
      </c>
      <c r="F28" s="56"/>
      <c r="G28" s="56"/>
      <c r="H28" s="57">
        <f t="shared" si="0"/>
        <v>0</v>
      </c>
    </row>
    <row r="29" spans="1:8" x14ac:dyDescent="0.3">
      <c r="A29" s="310" t="s">
        <v>65</v>
      </c>
      <c r="B29" s="171">
        <v>220</v>
      </c>
      <c r="C29" s="171">
        <v>220</v>
      </c>
      <c r="D29" s="171" t="s">
        <v>59</v>
      </c>
      <c r="E29" s="171" t="s">
        <v>59</v>
      </c>
      <c r="F29" s="56"/>
      <c r="G29" s="56"/>
      <c r="H29" s="57">
        <f t="shared" si="0"/>
        <v>0</v>
      </c>
    </row>
    <row r="30" spans="1:8" x14ac:dyDescent="0.3">
      <c r="A30" s="310"/>
      <c r="B30" s="171">
        <v>110</v>
      </c>
      <c r="C30" s="171">
        <v>110</v>
      </c>
      <c r="D30" s="171" t="s">
        <v>59</v>
      </c>
      <c r="E30" s="171" t="s">
        <v>59</v>
      </c>
      <c r="F30" s="56"/>
      <c r="G30" s="56"/>
      <c r="H30" s="57">
        <f t="shared" si="0"/>
        <v>0</v>
      </c>
    </row>
    <row r="31" spans="1:8" x14ac:dyDescent="0.3">
      <c r="A31" s="170" t="s">
        <v>66</v>
      </c>
      <c r="B31" s="171"/>
      <c r="C31" s="171"/>
      <c r="D31" s="171"/>
      <c r="E31" s="171"/>
      <c r="F31" s="59"/>
      <c r="G31" s="59"/>
      <c r="H31" s="60">
        <f>SUM(H19:H30)</f>
        <v>0</v>
      </c>
    </row>
    <row r="32" spans="1:8" x14ac:dyDescent="0.3">
      <c r="A32" s="310" t="s">
        <v>58</v>
      </c>
      <c r="B32" s="311">
        <v>35</v>
      </c>
      <c r="C32" s="171">
        <v>35</v>
      </c>
      <c r="D32" s="311">
        <v>1</v>
      </c>
      <c r="E32" s="171" t="s">
        <v>63</v>
      </c>
      <c r="F32" s="61"/>
      <c r="G32" s="61"/>
      <c r="H32" s="57">
        <f t="shared" ref="H32:H40" si="1">F32*G32/100</f>
        <v>0</v>
      </c>
    </row>
    <row r="33" spans="1:8" x14ac:dyDescent="0.3">
      <c r="A33" s="310"/>
      <c r="B33" s="311"/>
      <c r="C33" s="171">
        <v>35</v>
      </c>
      <c r="D33" s="311"/>
      <c r="E33" s="171" t="s">
        <v>60</v>
      </c>
      <c r="F33" s="61">
        <v>140</v>
      </c>
      <c r="G33" s="61">
        <v>0</v>
      </c>
      <c r="H33" s="57">
        <f t="shared" si="1"/>
        <v>0</v>
      </c>
    </row>
    <row r="34" spans="1:8" x14ac:dyDescent="0.3">
      <c r="A34" s="310"/>
      <c r="B34" s="311"/>
      <c r="C34" s="171">
        <v>35</v>
      </c>
      <c r="D34" s="311"/>
      <c r="E34" s="171" t="s">
        <v>62</v>
      </c>
      <c r="F34" s="61">
        <v>120</v>
      </c>
      <c r="G34" s="61">
        <v>0</v>
      </c>
      <c r="H34" s="57">
        <f t="shared" si="1"/>
        <v>0</v>
      </c>
    </row>
    <row r="35" spans="1:8" x14ac:dyDescent="0.3">
      <c r="A35" s="310"/>
      <c r="B35" s="311"/>
      <c r="C35" s="171">
        <v>35</v>
      </c>
      <c r="D35" s="311">
        <v>2</v>
      </c>
      <c r="E35" s="171" t="s">
        <v>60</v>
      </c>
      <c r="F35" s="61"/>
      <c r="G35" s="61"/>
      <c r="H35" s="57"/>
    </row>
    <row r="36" spans="1:8" x14ac:dyDescent="0.3">
      <c r="A36" s="310"/>
      <c r="B36" s="311"/>
      <c r="C36" s="171">
        <v>35</v>
      </c>
      <c r="D36" s="311"/>
      <c r="E36" s="171" t="s">
        <v>62</v>
      </c>
      <c r="F36" s="61"/>
      <c r="G36" s="61"/>
      <c r="H36" s="57"/>
    </row>
    <row r="37" spans="1:8" x14ac:dyDescent="0.3">
      <c r="A37" s="310"/>
      <c r="B37" s="311" t="s">
        <v>67</v>
      </c>
      <c r="C37" s="171" t="s">
        <v>68</v>
      </c>
      <c r="D37" s="311" t="s">
        <v>59</v>
      </c>
      <c r="E37" s="171" t="s">
        <v>63</v>
      </c>
      <c r="F37" s="61">
        <v>160</v>
      </c>
      <c r="G37" s="62">
        <v>0</v>
      </c>
      <c r="H37" s="57">
        <f t="shared" ref="H37:H38" si="2">F37*G37/100</f>
        <v>0</v>
      </c>
    </row>
    <row r="38" spans="1:8" x14ac:dyDescent="0.3">
      <c r="A38" s="310"/>
      <c r="B38" s="311"/>
      <c r="C38" s="171" t="s">
        <v>68</v>
      </c>
      <c r="D38" s="311"/>
      <c r="E38" s="171" t="s">
        <v>69</v>
      </c>
      <c r="F38" s="61">
        <v>140</v>
      </c>
      <c r="G38" s="61">
        <v>0</v>
      </c>
      <c r="H38" s="57">
        <f t="shared" si="2"/>
        <v>0</v>
      </c>
    </row>
    <row r="39" spans="1:8" x14ac:dyDescent="0.3">
      <c r="A39" s="310"/>
      <c r="B39" s="311"/>
      <c r="C39" s="171" t="s">
        <v>68</v>
      </c>
      <c r="D39" s="311"/>
      <c r="E39" s="171" t="s">
        <v>70</v>
      </c>
      <c r="F39" s="61">
        <v>110</v>
      </c>
      <c r="G39" s="175">
        <v>2.0499999999999998</v>
      </c>
      <c r="H39" s="60">
        <v>2.25</v>
      </c>
    </row>
    <row r="40" spans="1:8" x14ac:dyDescent="0.3">
      <c r="A40" s="310" t="s">
        <v>65</v>
      </c>
      <c r="B40" s="171" t="s">
        <v>71</v>
      </c>
      <c r="C40" s="171" t="s">
        <v>72</v>
      </c>
      <c r="D40" s="171" t="s">
        <v>59</v>
      </c>
      <c r="E40" s="171" t="s">
        <v>59</v>
      </c>
      <c r="F40" s="61"/>
      <c r="G40" s="61"/>
      <c r="H40" s="57">
        <f t="shared" si="1"/>
        <v>0</v>
      </c>
    </row>
    <row r="41" spans="1:8" x14ac:dyDescent="0.3">
      <c r="A41" s="310"/>
      <c r="B41" s="171" t="s">
        <v>73</v>
      </c>
      <c r="C41" s="171" t="s">
        <v>74</v>
      </c>
      <c r="D41" s="171" t="s">
        <v>59</v>
      </c>
      <c r="E41" s="171" t="s">
        <v>59</v>
      </c>
      <c r="F41" s="61">
        <v>350</v>
      </c>
      <c r="G41" s="62">
        <v>0</v>
      </c>
      <c r="H41" s="57">
        <v>0</v>
      </c>
    </row>
    <row r="42" spans="1:8" x14ac:dyDescent="0.3">
      <c r="A42" s="170" t="s">
        <v>75</v>
      </c>
      <c r="B42" s="171"/>
      <c r="C42" s="171"/>
      <c r="D42" s="171"/>
      <c r="E42" s="171"/>
      <c r="F42" s="59"/>
      <c r="G42" s="59"/>
      <c r="H42" s="60">
        <v>2.25</v>
      </c>
    </row>
    <row r="43" spans="1:8" x14ac:dyDescent="0.3">
      <c r="A43" s="170" t="s">
        <v>76</v>
      </c>
      <c r="B43" s="171"/>
      <c r="C43" s="171"/>
      <c r="D43" s="171"/>
      <c r="E43" s="171"/>
      <c r="F43" s="59"/>
      <c r="G43" s="59"/>
      <c r="H43" s="63">
        <v>0</v>
      </c>
    </row>
    <row r="44" spans="1:8" x14ac:dyDescent="0.3">
      <c r="A44" s="310" t="s">
        <v>58</v>
      </c>
      <c r="B44" s="311" t="s">
        <v>77</v>
      </c>
      <c r="C44" s="171" t="s">
        <v>78</v>
      </c>
      <c r="D44" s="311" t="s">
        <v>59</v>
      </c>
      <c r="E44" s="171" t="s">
        <v>63</v>
      </c>
      <c r="F44" s="61">
        <v>260</v>
      </c>
      <c r="G44" s="62">
        <v>0</v>
      </c>
      <c r="H44" s="57">
        <f t="shared" ref="H44:H47" si="3">F44*G44/100</f>
        <v>0</v>
      </c>
    </row>
    <row r="45" spans="1:8" x14ac:dyDescent="0.3">
      <c r="A45" s="310"/>
      <c r="B45" s="311"/>
      <c r="C45" s="171" t="s">
        <v>78</v>
      </c>
      <c r="D45" s="311"/>
      <c r="E45" s="171" t="s">
        <v>69</v>
      </c>
      <c r="F45" s="61">
        <v>220</v>
      </c>
      <c r="G45" s="61">
        <v>0</v>
      </c>
      <c r="H45" s="57">
        <f t="shared" si="3"/>
        <v>0</v>
      </c>
    </row>
    <row r="46" spans="1:8" x14ac:dyDescent="0.3">
      <c r="A46" s="310"/>
      <c r="B46" s="311"/>
      <c r="C46" s="171" t="s">
        <v>78</v>
      </c>
      <c r="D46" s="311"/>
      <c r="E46" s="171" t="s">
        <v>70</v>
      </c>
      <c r="F46" s="61">
        <v>150</v>
      </c>
      <c r="G46" s="61">
        <v>0</v>
      </c>
      <c r="H46" s="57">
        <f t="shared" si="3"/>
        <v>0</v>
      </c>
    </row>
    <row r="47" spans="1:8" x14ac:dyDescent="0.3">
      <c r="A47" s="170" t="s">
        <v>65</v>
      </c>
      <c r="B47" s="171" t="s">
        <v>79</v>
      </c>
      <c r="C47" s="171" t="s">
        <v>80</v>
      </c>
      <c r="D47" s="171" t="s">
        <v>59</v>
      </c>
      <c r="E47" s="171" t="s">
        <v>59</v>
      </c>
      <c r="F47" s="61">
        <v>270</v>
      </c>
      <c r="G47" s="62">
        <v>0</v>
      </c>
      <c r="H47" s="57">
        <f t="shared" si="3"/>
        <v>0</v>
      </c>
    </row>
    <row r="48" spans="1:8" ht="14.4" thickBot="1" x14ac:dyDescent="0.35">
      <c r="A48" s="64" t="s">
        <v>81</v>
      </c>
      <c r="B48" s="65"/>
      <c r="C48" s="65"/>
      <c r="D48" s="65"/>
      <c r="E48" s="65"/>
      <c r="F48" s="66"/>
      <c r="G48" s="66"/>
      <c r="H48" s="67">
        <f>SUM(H44:H47)</f>
        <v>0</v>
      </c>
    </row>
    <row r="50" spans="1:7" x14ac:dyDescent="0.3">
      <c r="A50" s="5" t="s">
        <v>497</v>
      </c>
      <c r="B50" s="68"/>
      <c r="C50" s="68"/>
      <c r="D50" s="68"/>
      <c r="E50" s="68"/>
      <c r="F50" s="68"/>
      <c r="G50" s="68"/>
    </row>
    <row r="51" spans="1:7" x14ac:dyDescent="0.3">
      <c r="A51" s="5" t="s">
        <v>498</v>
      </c>
    </row>
    <row r="52" spans="1:7" x14ac:dyDescent="0.3">
      <c r="B52" s="5" t="s">
        <v>499</v>
      </c>
    </row>
    <row r="53" spans="1:7" x14ac:dyDescent="0.3">
      <c r="B53" s="5" t="s">
        <v>500</v>
      </c>
    </row>
    <row r="54" spans="1:7" x14ac:dyDescent="0.3">
      <c r="B54" s="5" t="s">
        <v>501</v>
      </c>
    </row>
    <row r="55" spans="1:7" x14ac:dyDescent="0.3">
      <c r="A55" s="5" t="s">
        <v>502</v>
      </c>
    </row>
    <row r="56" spans="1:7" x14ac:dyDescent="0.3">
      <c r="A56" s="5" t="s">
        <v>503</v>
      </c>
    </row>
    <row r="57" spans="1:7" x14ac:dyDescent="0.3">
      <c r="A57" s="5" t="s">
        <v>504</v>
      </c>
    </row>
    <row r="59" spans="1:7" x14ac:dyDescent="0.3">
      <c r="A59" s="5" t="s">
        <v>505</v>
      </c>
    </row>
    <row r="60" spans="1:7" x14ac:dyDescent="0.3">
      <c r="A60" s="176" t="s">
        <v>506</v>
      </c>
    </row>
  </sheetData>
  <protectedRanges>
    <protectedRange sqref="F11:G48" name="Диапазон1"/>
  </protectedRanges>
  <mergeCells count="29">
    <mergeCell ref="A40:A41"/>
    <mergeCell ref="A44:A46"/>
    <mergeCell ref="B44:B46"/>
    <mergeCell ref="D44:D46"/>
    <mergeCell ref="A6:H6"/>
    <mergeCell ref="A29:A30"/>
    <mergeCell ref="A32:A39"/>
    <mergeCell ref="B32:B36"/>
    <mergeCell ref="D32:D34"/>
    <mergeCell ref="D35:D36"/>
    <mergeCell ref="B37:B39"/>
    <mergeCell ref="D37:D39"/>
    <mergeCell ref="D17:D18"/>
    <mergeCell ref="B19:B23"/>
    <mergeCell ref="D19:D21"/>
    <mergeCell ref="D22:D23"/>
    <mergeCell ref="B24:B28"/>
    <mergeCell ref="D24:D26"/>
    <mergeCell ref="D27:D28"/>
    <mergeCell ref="A2:H5"/>
    <mergeCell ref="A7:A8"/>
    <mergeCell ref="B7:B8"/>
    <mergeCell ref="D7:D8"/>
    <mergeCell ref="E7:E8"/>
    <mergeCell ref="A11:A28"/>
    <mergeCell ref="B13:B14"/>
    <mergeCell ref="D13:D14"/>
    <mergeCell ref="B15:B18"/>
    <mergeCell ref="D15:D1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25" workbookViewId="0">
      <selection activeCell="D42" sqref="D42:E42"/>
    </sheetView>
  </sheetViews>
  <sheetFormatPr defaultColWidth="8.77734375" defaultRowHeight="13.8" x14ac:dyDescent="0.3"/>
  <cols>
    <col min="1" max="1" width="6.5546875" style="129" customWidth="1"/>
    <col min="2" max="2" width="42.77734375" style="129" customWidth="1"/>
    <col min="3" max="4" width="11.77734375" style="129" customWidth="1"/>
    <col min="5" max="5" width="9.5546875" style="129" customWidth="1"/>
    <col min="6" max="16384" width="8.77734375" style="129"/>
  </cols>
  <sheetData>
    <row r="1" spans="1:5" x14ac:dyDescent="0.3">
      <c r="A1" s="319" t="s">
        <v>625</v>
      </c>
      <c r="B1" s="319"/>
      <c r="C1" s="319"/>
    </row>
    <row r="2" spans="1:5" x14ac:dyDescent="0.3">
      <c r="A2" s="319"/>
      <c r="B2" s="319"/>
      <c r="C2" s="319"/>
      <c r="D2" s="129" t="s">
        <v>280</v>
      </c>
    </row>
    <row r="3" spans="1:5" ht="26.55" customHeight="1" x14ac:dyDescent="0.3">
      <c r="A3" s="134" t="s">
        <v>100</v>
      </c>
      <c r="B3" s="134" t="s">
        <v>87</v>
      </c>
      <c r="C3" s="135" t="s">
        <v>101</v>
      </c>
      <c r="D3" s="40" t="s">
        <v>628</v>
      </c>
      <c r="E3" s="39" t="s">
        <v>627</v>
      </c>
    </row>
    <row r="4" spans="1:5" ht="10.95" customHeight="1" x14ac:dyDescent="0.3">
      <c r="A4" s="144">
        <v>1</v>
      </c>
      <c r="B4" s="144">
        <v>2</v>
      </c>
      <c r="C4" s="144">
        <v>3</v>
      </c>
      <c r="D4" s="128">
        <v>4</v>
      </c>
      <c r="E4" s="128">
        <v>5</v>
      </c>
    </row>
    <row r="5" spans="1:5" x14ac:dyDescent="0.3">
      <c r="A5" s="137" t="s">
        <v>1</v>
      </c>
      <c r="B5" s="137" t="s">
        <v>102</v>
      </c>
      <c r="C5" s="137"/>
      <c r="D5" s="98">
        <v>88.6</v>
      </c>
      <c r="E5" s="98">
        <v>88.6</v>
      </c>
    </row>
    <row r="6" spans="1:5" x14ac:dyDescent="0.3">
      <c r="A6" s="137"/>
      <c r="B6" s="137" t="s">
        <v>103</v>
      </c>
      <c r="C6" s="138" t="s">
        <v>7</v>
      </c>
      <c r="D6" s="138">
        <v>88.6</v>
      </c>
      <c r="E6" s="138">
        <v>88.6</v>
      </c>
    </row>
    <row r="7" spans="1:5" x14ac:dyDescent="0.3">
      <c r="A7" s="137" t="s">
        <v>2</v>
      </c>
      <c r="B7" s="137" t="s">
        <v>104</v>
      </c>
      <c r="C7" s="138"/>
      <c r="D7" s="139"/>
      <c r="E7" s="139"/>
    </row>
    <row r="8" spans="1:5" x14ac:dyDescent="0.3">
      <c r="A8" s="137" t="s">
        <v>105</v>
      </c>
      <c r="B8" s="140" t="s">
        <v>106</v>
      </c>
      <c r="C8" s="138" t="s">
        <v>107</v>
      </c>
      <c r="D8" s="141"/>
      <c r="E8" s="142">
        <v>10746</v>
      </c>
    </row>
    <row r="9" spans="1:5" x14ac:dyDescent="0.3">
      <c r="A9" s="137" t="s">
        <v>108</v>
      </c>
      <c r="B9" s="137" t="s">
        <v>109</v>
      </c>
      <c r="C9" s="138"/>
      <c r="D9" s="139"/>
      <c r="E9" s="139"/>
    </row>
    <row r="10" spans="1:5" x14ac:dyDescent="0.3">
      <c r="A10" s="137" t="s">
        <v>110</v>
      </c>
      <c r="B10" s="140" t="s">
        <v>111</v>
      </c>
      <c r="C10" s="138" t="s">
        <v>107</v>
      </c>
      <c r="D10" s="143"/>
      <c r="E10" s="143"/>
    </row>
    <row r="11" spans="1:5" x14ac:dyDescent="0.3">
      <c r="A11" s="137" t="s">
        <v>112</v>
      </c>
      <c r="B11" s="137" t="s">
        <v>113</v>
      </c>
      <c r="C11" s="138"/>
      <c r="D11" s="138"/>
      <c r="E11" s="138">
        <v>5</v>
      </c>
    </row>
    <row r="12" spans="1:5" x14ac:dyDescent="0.3">
      <c r="A12" s="320" t="s">
        <v>114</v>
      </c>
      <c r="B12" s="321" t="s">
        <v>115</v>
      </c>
      <c r="C12" s="322"/>
      <c r="D12" s="317"/>
      <c r="E12" s="317">
        <v>1.82</v>
      </c>
    </row>
    <row r="13" spans="1:5" ht="15" customHeight="1" x14ac:dyDescent="0.3">
      <c r="A13" s="320"/>
      <c r="B13" s="321"/>
      <c r="C13" s="322"/>
      <c r="D13" s="318"/>
      <c r="E13" s="318"/>
    </row>
    <row r="14" spans="1:5" ht="27" x14ac:dyDescent="0.3">
      <c r="A14" s="137" t="s">
        <v>116</v>
      </c>
      <c r="B14" s="140" t="s">
        <v>117</v>
      </c>
      <c r="C14" s="138" t="s">
        <v>107</v>
      </c>
      <c r="D14" s="145">
        <v>12109</v>
      </c>
      <c r="E14" s="145">
        <f>E8*E12</f>
        <v>19557.72</v>
      </c>
    </row>
    <row r="15" spans="1:5" x14ac:dyDescent="0.3">
      <c r="A15" s="137" t="s">
        <v>118</v>
      </c>
      <c r="B15" s="321" t="s">
        <v>119</v>
      </c>
      <c r="C15" s="322"/>
      <c r="D15" s="139"/>
      <c r="E15" s="139"/>
    </row>
    <row r="16" spans="1:5" x14ac:dyDescent="0.3">
      <c r="A16" s="137"/>
      <c r="B16" s="321"/>
      <c r="C16" s="322"/>
      <c r="D16" s="139"/>
      <c r="E16" s="139"/>
    </row>
    <row r="17" spans="1:5" x14ac:dyDescent="0.3">
      <c r="A17" s="137" t="s">
        <v>120</v>
      </c>
      <c r="B17" s="137" t="s">
        <v>283</v>
      </c>
      <c r="C17" s="138" t="s">
        <v>122</v>
      </c>
      <c r="D17" s="138">
        <v>1.7</v>
      </c>
      <c r="E17" s="138">
        <v>1.7</v>
      </c>
    </row>
    <row r="18" spans="1:5" x14ac:dyDescent="0.3">
      <c r="A18" s="137" t="s">
        <v>123</v>
      </c>
      <c r="B18" s="137" t="s">
        <v>124</v>
      </c>
      <c r="C18" s="138" t="s">
        <v>107</v>
      </c>
      <c r="D18" s="145">
        <f t="shared" ref="D18:E18" si="0">D14*D17/100</f>
        <v>205.85299999999998</v>
      </c>
      <c r="E18" s="145">
        <f t="shared" si="0"/>
        <v>332.48124000000001</v>
      </c>
    </row>
    <row r="19" spans="1:5" x14ac:dyDescent="0.3">
      <c r="A19" s="137" t="s">
        <v>125</v>
      </c>
      <c r="B19" s="137" t="s">
        <v>126</v>
      </c>
      <c r="C19" s="138"/>
      <c r="D19" s="139"/>
      <c r="E19" s="139"/>
    </row>
    <row r="20" spans="1:5" x14ac:dyDescent="0.3">
      <c r="A20" s="137" t="s">
        <v>127</v>
      </c>
      <c r="B20" s="137" t="s">
        <v>121</v>
      </c>
      <c r="C20" s="138" t="s">
        <v>122</v>
      </c>
      <c r="D20" s="138">
        <v>50</v>
      </c>
      <c r="E20" s="138">
        <v>50</v>
      </c>
    </row>
    <row r="21" spans="1:5" x14ac:dyDescent="0.3">
      <c r="A21" s="137" t="s">
        <v>128</v>
      </c>
      <c r="B21" s="137" t="s">
        <v>124</v>
      </c>
      <c r="C21" s="138" t="s">
        <v>107</v>
      </c>
      <c r="D21" s="145">
        <f t="shared" ref="D21:E21" si="1">D14*D20/100</f>
        <v>6054.5</v>
      </c>
      <c r="E21" s="145">
        <f t="shared" si="1"/>
        <v>9778.86</v>
      </c>
    </row>
    <row r="22" spans="1:5" x14ac:dyDescent="0.3">
      <c r="A22" s="137" t="s">
        <v>129</v>
      </c>
      <c r="B22" s="140" t="s">
        <v>130</v>
      </c>
      <c r="C22" s="138"/>
      <c r="D22" s="139"/>
      <c r="E22" s="139"/>
    </row>
    <row r="23" spans="1:5" x14ac:dyDescent="0.3">
      <c r="A23" s="137" t="s">
        <v>131</v>
      </c>
      <c r="B23" s="137" t="s">
        <v>284</v>
      </c>
      <c r="C23" s="138" t="s">
        <v>122</v>
      </c>
      <c r="D23" s="138"/>
      <c r="E23" s="138">
        <v>0</v>
      </c>
    </row>
    <row r="24" spans="1:5" x14ac:dyDescent="0.3">
      <c r="A24" s="137" t="s">
        <v>132</v>
      </c>
      <c r="B24" s="137" t="s">
        <v>124</v>
      </c>
      <c r="C24" s="138" t="s">
        <v>107</v>
      </c>
      <c r="D24" s="145">
        <f t="shared" ref="D24:E24" si="2">D14*D23/100</f>
        <v>0</v>
      </c>
      <c r="E24" s="145">
        <f t="shared" si="2"/>
        <v>0</v>
      </c>
    </row>
    <row r="25" spans="1:5" x14ac:dyDescent="0.3">
      <c r="A25" s="137"/>
      <c r="B25" s="137" t="s">
        <v>133</v>
      </c>
      <c r="C25" s="138"/>
      <c r="D25" s="139"/>
      <c r="E25" s="139"/>
    </row>
    <row r="26" spans="1:5" x14ac:dyDescent="0.3">
      <c r="A26" s="137"/>
      <c r="B26" s="137" t="s">
        <v>121</v>
      </c>
      <c r="C26" s="138"/>
      <c r="D26" s="138"/>
      <c r="E26" s="138">
        <v>0</v>
      </c>
    </row>
    <row r="27" spans="1:5" x14ac:dyDescent="0.3">
      <c r="A27" s="137"/>
      <c r="B27" s="137" t="s">
        <v>285</v>
      </c>
      <c r="C27" s="138"/>
      <c r="D27" s="145">
        <f t="shared" ref="D27:E27" si="3">D14*D26/100</f>
        <v>0</v>
      </c>
      <c r="E27" s="145">
        <f t="shared" si="3"/>
        <v>0</v>
      </c>
    </row>
    <row r="28" spans="1:5" x14ac:dyDescent="0.3">
      <c r="A28" s="137" t="s">
        <v>134</v>
      </c>
      <c r="B28" s="137" t="s">
        <v>135</v>
      </c>
      <c r="C28" s="138"/>
      <c r="D28" s="139"/>
      <c r="E28" s="139"/>
    </row>
    <row r="29" spans="1:5" x14ac:dyDescent="0.3">
      <c r="A29" s="137" t="s">
        <v>136</v>
      </c>
      <c r="B29" s="137" t="s">
        <v>121</v>
      </c>
      <c r="C29" s="138" t="s">
        <v>122</v>
      </c>
      <c r="D29" s="162">
        <v>15</v>
      </c>
      <c r="E29" s="162">
        <v>15</v>
      </c>
    </row>
    <row r="30" spans="1:5" x14ac:dyDescent="0.3">
      <c r="A30" s="137" t="s">
        <v>137</v>
      </c>
      <c r="B30" s="137" t="s">
        <v>124</v>
      </c>
      <c r="C30" s="138" t="s">
        <v>107</v>
      </c>
      <c r="D30" s="145">
        <f>D14*D29/100</f>
        <v>1816.35</v>
      </c>
      <c r="E30" s="145">
        <f>E14*E29/100</f>
        <v>2933.6580000000004</v>
      </c>
    </row>
    <row r="31" spans="1:5" x14ac:dyDescent="0.3">
      <c r="A31" s="137" t="s">
        <v>138</v>
      </c>
      <c r="B31" s="137" t="s">
        <v>139</v>
      </c>
      <c r="C31" s="138"/>
      <c r="D31" s="139"/>
      <c r="E31" s="139"/>
    </row>
    <row r="32" spans="1:5" x14ac:dyDescent="0.3">
      <c r="A32" s="137" t="s">
        <v>140</v>
      </c>
      <c r="B32" s="137" t="s">
        <v>121</v>
      </c>
      <c r="C32" s="138" t="s">
        <v>122</v>
      </c>
      <c r="D32" s="138"/>
      <c r="E32" s="138"/>
    </row>
    <row r="33" spans="1:5" x14ac:dyDescent="0.3">
      <c r="A33" s="137" t="s">
        <v>141</v>
      </c>
      <c r="B33" s="137" t="s">
        <v>124</v>
      </c>
      <c r="C33" s="138" t="s">
        <v>107</v>
      </c>
      <c r="D33" s="145"/>
      <c r="E33" s="145"/>
    </row>
    <row r="34" spans="1:5" ht="27" x14ac:dyDescent="0.3">
      <c r="A34" s="137" t="s">
        <v>142</v>
      </c>
      <c r="B34" s="140" t="s">
        <v>143</v>
      </c>
      <c r="C34" s="138"/>
      <c r="D34" s="139"/>
      <c r="E34" s="139"/>
    </row>
    <row r="35" spans="1:5" x14ac:dyDescent="0.3">
      <c r="A35" s="137" t="s">
        <v>144</v>
      </c>
      <c r="B35" s="137" t="s">
        <v>121</v>
      </c>
      <c r="C35" s="138" t="s">
        <v>122</v>
      </c>
      <c r="D35" s="138">
        <v>100</v>
      </c>
      <c r="E35" s="138">
        <v>100</v>
      </c>
    </row>
    <row r="36" spans="1:5" x14ac:dyDescent="0.3">
      <c r="A36" s="146" t="s">
        <v>145</v>
      </c>
      <c r="B36" s="137" t="s">
        <v>124</v>
      </c>
      <c r="C36" s="138" t="s">
        <v>107</v>
      </c>
      <c r="D36" s="145">
        <f>(D14+D18+D21+D30+D33+D27+D24)*D35/100</f>
        <v>20185.702999999998</v>
      </c>
      <c r="E36" s="145">
        <f>(E14+E18+E21+E30+E33+E27+E24)*E35/100</f>
        <v>32602.719240000002</v>
      </c>
    </row>
    <row r="37" spans="1:5" x14ac:dyDescent="0.3">
      <c r="A37" s="137" t="s">
        <v>146</v>
      </c>
      <c r="B37" s="137" t="s">
        <v>147</v>
      </c>
      <c r="C37" s="138" t="s">
        <v>107</v>
      </c>
      <c r="D37" s="147">
        <f>D14+D18+D21+D24+D27+D30+D33+D36</f>
        <v>40371.405999999995</v>
      </c>
      <c r="E37" s="147">
        <f>E14+E18+E21+E24+E27+E30+E33+E36</f>
        <v>65205.438480000004</v>
      </c>
    </row>
    <row r="38" spans="1:5" x14ac:dyDescent="0.3">
      <c r="A38" s="320" t="s">
        <v>148</v>
      </c>
      <c r="B38" s="321" t="s">
        <v>149</v>
      </c>
      <c r="C38" s="322"/>
      <c r="D38" s="139"/>
      <c r="E38" s="139"/>
    </row>
    <row r="39" spans="1:5" x14ac:dyDescent="0.3">
      <c r="A39" s="320"/>
      <c r="B39" s="321"/>
      <c r="C39" s="322"/>
      <c r="D39" s="139"/>
      <c r="E39" s="139"/>
    </row>
    <row r="40" spans="1:5" ht="28.2" customHeight="1" x14ac:dyDescent="0.3">
      <c r="A40" s="137" t="s">
        <v>150</v>
      </c>
      <c r="B40" s="161" t="s">
        <v>626</v>
      </c>
      <c r="C40" s="138" t="s">
        <v>151</v>
      </c>
      <c r="D40" s="138">
        <v>263.35000000000002</v>
      </c>
      <c r="E40" s="148">
        <f>168.32*1.037</f>
        <v>174.54783999999998</v>
      </c>
    </row>
    <row r="41" spans="1:5" x14ac:dyDescent="0.3">
      <c r="A41" s="137" t="s">
        <v>152</v>
      </c>
      <c r="B41" s="137"/>
      <c r="C41" s="138" t="s">
        <v>151</v>
      </c>
      <c r="D41" s="138"/>
      <c r="E41" s="138"/>
    </row>
    <row r="42" spans="1:5" x14ac:dyDescent="0.3">
      <c r="A42" s="149" t="s">
        <v>153</v>
      </c>
      <c r="B42" s="150" t="s">
        <v>154</v>
      </c>
      <c r="C42" s="138" t="s">
        <v>151</v>
      </c>
      <c r="D42" s="351">
        <f>D37*D6*12/1000+D40</f>
        <v>43186.22885919999</v>
      </c>
      <c r="E42" s="351">
        <f>E37*E6*12/1000+E40</f>
        <v>69500.970031935998</v>
      </c>
    </row>
    <row r="43" spans="1:5" ht="27" x14ac:dyDescent="0.3">
      <c r="A43" s="149"/>
      <c r="B43" s="140" t="s">
        <v>155</v>
      </c>
      <c r="C43" s="138"/>
      <c r="D43" s="151">
        <f>D42/D6/12*1000</f>
        <v>40619.101635816398</v>
      </c>
      <c r="E43" s="151">
        <f>E42/E6/12*1000</f>
        <v>65369.61063951844</v>
      </c>
    </row>
    <row r="44" spans="1:5" x14ac:dyDescent="0.3">
      <c r="A44" s="152"/>
      <c r="B44" s="153"/>
      <c r="C44" s="152"/>
      <c r="D44" s="139"/>
      <c r="E44" s="139"/>
    </row>
    <row r="45" spans="1:5" x14ac:dyDescent="0.3">
      <c r="A45" s="128"/>
      <c r="B45" s="137" t="s">
        <v>251</v>
      </c>
      <c r="C45" s="98" t="s">
        <v>107</v>
      </c>
      <c r="D45" s="139"/>
      <c r="E45" s="139"/>
    </row>
    <row r="46" spans="1:5" x14ac:dyDescent="0.3">
      <c r="A46" s="154"/>
      <c r="B46" s="155" t="s">
        <v>156</v>
      </c>
      <c r="C46" s="136" t="s">
        <v>122</v>
      </c>
      <c r="D46" s="143"/>
      <c r="E46" s="143"/>
    </row>
    <row r="47" spans="1:5" x14ac:dyDescent="0.3">
      <c r="B47" s="156"/>
    </row>
    <row r="48" spans="1:5" x14ac:dyDescent="0.3">
      <c r="B48" s="129" t="s">
        <v>256</v>
      </c>
    </row>
    <row r="49" spans="1:4" ht="27" customHeight="1" x14ac:dyDescent="0.3">
      <c r="A49" s="323" t="s">
        <v>255</v>
      </c>
      <c r="B49" s="323"/>
      <c r="C49" s="323"/>
      <c r="D49" s="323"/>
    </row>
    <row r="50" spans="1:4" ht="15" customHeight="1" x14ac:dyDescent="0.3">
      <c r="A50" s="129" t="s">
        <v>279</v>
      </c>
      <c r="C50" s="157"/>
      <c r="D50" s="157"/>
    </row>
    <row r="51" spans="1:4" ht="15" customHeight="1" x14ac:dyDescent="0.3">
      <c r="A51" s="157"/>
      <c r="B51" s="157"/>
      <c r="C51" s="157"/>
      <c r="D51" s="157"/>
    </row>
  </sheetData>
  <mergeCells count="12">
    <mergeCell ref="A49:D49"/>
    <mergeCell ref="A38:A39"/>
    <mergeCell ref="B38:B39"/>
    <mergeCell ref="C38:C39"/>
    <mergeCell ref="B15:B16"/>
    <mergeCell ref="C15:C16"/>
    <mergeCell ref="E12:E13"/>
    <mergeCell ref="A1:C2"/>
    <mergeCell ref="A12:A13"/>
    <mergeCell ref="B12:B13"/>
    <mergeCell ref="C12:C13"/>
    <mergeCell ref="D12:D13"/>
  </mergeCells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I66"/>
  <sheetViews>
    <sheetView topLeftCell="A3" workbookViewId="0">
      <selection activeCell="H71" sqref="H71"/>
    </sheetView>
  </sheetViews>
  <sheetFormatPr defaultRowHeight="14.4" x14ac:dyDescent="0.3"/>
  <cols>
    <col min="1" max="1" width="4.21875" customWidth="1"/>
    <col min="2" max="2" width="15.21875" customWidth="1"/>
    <col min="3" max="3" width="11.5546875" customWidth="1"/>
    <col min="4" max="4" width="13.5546875" customWidth="1"/>
    <col min="5" max="5" width="16.21875" customWidth="1"/>
    <col min="6" max="6" width="13.44140625" customWidth="1"/>
    <col min="7" max="7" width="11.44140625" customWidth="1"/>
  </cols>
  <sheetData>
    <row r="2" spans="2:5" ht="15.6" x14ac:dyDescent="0.3">
      <c r="B2" s="72" t="s">
        <v>430</v>
      </c>
      <c r="C2" s="72"/>
      <c r="D2" s="72"/>
    </row>
    <row r="3" spans="2:5" ht="16.95" customHeight="1" x14ac:dyDescent="0.3"/>
    <row r="4" spans="2:5" x14ac:dyDescent="0.3">
      <c r="B4" s="324" t="s">
        <v>277</v>
      </c>
      <c r="C4" s="324"/>
      <c r="D4" s="324"/>
      <c r="E4" s="324"/>
    </row>
    <row r="5" spans="2:5" x14ac:dyDescent="0.3">
      <c r="B5" s="324" t="s">
        <v>431</v>
      </c>
      <c r="C5" s="324"/>
      <c r="D5" s="324"/>
      <c r="E5" s="324"/>
    </row>
    <row r="6" spans="2:5" x14ac:dyDescent="0.3">
      <c r="B6" s="324" t="s">
        <v>432</v>
      </c>
      <c r="C6" s="324"/>
      <c r="D6" s="324"/>
      <c r="E6" s="324"/>
    </row>
    <row r="7" spans="2:5" x14ac:dyDescent="0.3">
      <c r="E7" t="s">
        <v>494</v>
      </c>
    </row>
    <row r="8" spans="2:5" ht="57.6" customHeight="1" x14ac:dyDescent="0.3">
      <c r="B8" s="42" t="s">
        <v>257</v>
      </c>
      <c r="C8" s="42" t="s">
        <v>258</v>
      </c>
      <c r="D8" s="42" t="s">
        <v>259</v>
      </c>
      <c r="E8" s="42" t="s">
        <v>260</v>
      </c>
    </row>
    <row r="10" spans="2:5" x14ac:dyDescent="0.3">
      <c r="B10" s="2" t="s">
        <v>261</v>
      </c>
      <c r="C10" s="2">
        <v>3.69</v>
      </c>
      <c r="D10" s="2">
        <v>182697.68</v>
      </c>
      <c r="E10" s="43">
        <f>D10*C10</f>
        <v>674154.43920000002</v>
      </c>
    </row>
    <row r="11" spans="2:5" x14ac:dyDescent="0.3">
      <c r="B11" s="2" t="s">
        <v>262</v>
      </c>
      <c r="C11" s="2">
        <v>3.69</v>
      </c>
      <c r="D11" s="2">
        <v>182697.68</v>
      </c>
      <c r="E11" s="43">
        <f t="shared" ref="E11:E21" si="0">D11*C11</f>
        <v>674154.43920000002</v>
      </c>
    </row>
    <row r="12" spans="2:5" x14ac:dyDescent="0.3">
      <c r="B12" s="2" t="s">
        <v>263</v>
      </c>
      <c r="C12" s="2">
        <v>3.69</v>
      </c>
      <c r="D12" s="2">
        <v>182697.68</v>
      </c>
      <c r="E12" s="43">
        <f t="shared" si="0"/>
        <v>674154.43920000002</v>
      </c>
    </row>
    <row r="13" spans="2:5" x14ac:dyDescent="0.3">
      <c r="B13" s="2" t="s">
        <v>264</v>
      </c>
      <c r="C13" s="2">
        <v>3.69</v>
      </c>
      <c r="D13" s="2">
        <v>182697.68</v>
      </c>
      <c r="E13" s="43">
        <f t="shared" si="0"/>
        <v>674154.43920000002</v>
      </c>
    </row>
    <row r="14" spans="2:5" x14ac:dyDescent="0.3">
      <c r="B14" s="2" t="s">
        <v>265</v>
      </c>
      <c r="C14" s="2">
        <v>3.69</v>
      </c>
      <c r="D14" s="2">
        <v>182697.68</v>
      </c>
      <c r="E14" s="43">
        <f t="shared" si="0"/>
        <v>674154.43920000002</v>
      </c>
    </row>
    <row r="15" spans="2:5" x14ac:dyDescent="0.3">
      <c r="B15" s="2" t="s">
        <v>266</v>
      </c>
      <c r="C15" s="2">
        <v>3.69</v>
      </c>
      <c r="D15" s="2">
        <v>182697.68</v>
      </c>
      <c r="E15" s="43">
        <f t="shared" si="0"/>
        <v>674154.43920000002</v>
      </c>
    </row>
    <row r="16" spans="2:5" x14ac:dyDescent="0.3">
      <c r="B16" s="2" t="s">
        <v>267</v>
      </c>
      <c r="C16" s="2">
        <v>3.69</v>
      </c>
      <c r="D16" s="2">
        <v>182697.68</v>
      </c>
      <c r="E16" s="43">
        <f t="shared" si="0"/>
        <v>674154.43920000002</v>
      </c>
    </row>
    <row r="17" spans="2:7" x14ac:dyDescent="0.3">
      <c r="B17" s="2" t="s">
        <v>268</v>
      </c>
      <c r="C17" s="2">
        <v>3.69</v>
      </c>
      <c r="D17" s="2">
        <v>182697.68</v>
      </c>
      <c r="E17" s="43">
        <f t="shared" si="0"/>
        <v>674154.43920000002</v>
      </c>
    </row>
    <row r="18" spans="2:7" x14ac:dyDescent="0.3">
      <c r="B18" s="2" t="s">
        <v>269</v>
      </c>
      <c r="C18" s="2">
        <v>3.69</v>
      </c>
      <c r="D18" s="2">
        <v>182697.68</v>
      </c>
      <c r="E18" s="43">
        <f t="shared" si="0"/>
        <v>674154.43920000002</v>
      </c>
    </row>
    <row r="19" spans="2:7" x14ac:dyDescent="0.3">
      <c r="B19" s="2" t="s">
        <v>270</v>
      </c>
      <c r="C19" s="2">
        <v>3.69</v>
      </c>
      <c r="D19" s="2">
        <v>182697.68</v>
      </c>
      <c r="E19" s="43">
        <f t="shared" si="0"/>
        <v>674154.43920000002</v>
      </c>
    </row>
    <row r="20" spans="2:7" x14ac:dyDescent="0.3">
      <c r="B20" s="2" t="s">
        <v>271</v>
      </c>
      <c r="C20" s="2">
        <v>3.69</v>
      </c>
      <c r="D20" s="2">
        <v>182697.68</v>
      </c>
      <c r="E20" s="43">
        <f t="shared" si="0"/>
        <v>674154.43920000002</v>
      </c>
    </row>
    <row r="21" spans="2:7" x14ac:dyDescent="0.3">
      <c r="B21" s="2" t="s">
        <v>272</v>
      </c>
      <c r="C21" s="2">
        <v>3.69</v>
      </c>
      <c r="D21" s="2">
        <v>182697.68</v>
      </c>
      <c r="E21" s="43">
        <f t="shared" si="0"/>
        <v>674154.43920000002</v>
      </c>
    </row>
    <row r="22" spans="2:7" x14ac:dyDescent="0.3">
      <c r="B22" s="97" t="s">
        <v>273</v>
      </c>
      <c r="C22" s="97" t="s">
        <v>494</v>
      </c>
      <c r="D22" s="97"/>
      <c r="E22" s="44">
        <f>SUM(E10:E21)</f>
        <v>8089853.2703999998</v>
      </c>
    </row>
    <row r="23" spans="2:7" x14ac:dyDescent="0.3">
      <c r="B23" s="97"/>
      <c r="C23" s="97"/>
      <c r="D23" s="97"/>
      <c r="E23" s="44"/>
    </row>
    <row r="24" spans="2:7" x14ac:dyDescent="0.3">
      <c r="B24" s="70"/>
      <c r="C24" s="70"/>
      <c r="D24" s="70"/>
      <c r="E24" s="44"/>
      <c r="G24" s="44"/>
    </row>
    <row r="25" spans="2:7" x14ac:dyDescent="0.3">
      <c r="B25" s="3" t="s">
        <v>279</v>
      </c>
    </row>
    <row r="28" spans="2:7" x14ac:dyDescent="0.3">
      <c r="B28" s="25" t="s">
        <v>433</v>
      </c>
    </row>
    <row r="29" spans="2:7" x14ac:dyDescent="0.3">
      <c r="B29" t="s">
        <v>599</v>
      </c>
    </row>
    <row r="31" spans="2:7" ht="90" customHeight="1" x14ac:dyDescent="0.3">
      <c r="B31" s="2" t="s">
        <v>257</v>
      </c>
      <c r="C31" s="42" t="s">
        <v>458</v>
      </c>
      <c r="D31" s="42" t="s">
        <v>274</v>
      </c>
      <c r="E31" s="42" t="s">
        <v>275</v>
      </c>
      <c r="F31" s="42" t="s">
        <v>600</v>
      </c>
      <c r="G31" s="42" t="s">
        <v>276</v>
      </c>
    </row>
    <row r="32" spans="2:7" x14ac:dyDescent="0.3">
      <c r="B32" s="2" t="s">
        <v>494</v>
      </c>
      <c r="C32" s="2">
        <v>20205.759999999998</v>
      </c>
      <c r="D32" s="2">
        <v>7.61</v>
      </c>
      <c r="E32" s="43">
        <f>C32*D32%</f>
        <v>1537.658336</v>
      </c>
      <c r="F32" s="2">
        <v>2112.79</v>
      </c>
      <c r="G32" s="158">
        <f>E32*F32</f>
        <v>3248749.1557174399</v>
      </c>
    </row>
    <row r="33" spans="2:7" x14ac:dyDescent="0.3">
      <c r="B33" s="1"/>
      <c r="C33" s="1"/>
      <c r="D33" s="1"/>
      <c r="E33" s="159"/>
      <c r="F33" s="1"/>
      <c r="G33" s="160"/>
    </row>
    <row r="34" spans="2:7" x14ac:dyDescent="0.3">
      <c r="B34" s="1"/>
      <c r="C34" s="1"/>
      <c r="D34" s="1"/>
      <c r="E34" s="159"/>
      <c r="F34" s="1"/>
      <c r="G34" s="160"/>
    </row>
    <row r="35" spans="2:7" x14ac:dyDescent="0.3">
      <c r="B35" s="3"/>
    </row>
    <row r="36" spans="2:7" x14ac:dyDescent="0.3">
      <c r="B36" s="25" t="s">
        <v>601</v>
      </c>
      <c r="C36" s="25"/>
      <c r="E36" s="44">
        <f>E22+G32</f>
        <v>11338602.426117439</v>
      </c>
    </row>
    <row r="37" spans="2:7" x14ac:dyDescent="0.3">
      <c r="B37" s="25"/>
      <c r="C37" s="25"/>
      <c r="E37" s="44"/>
    </row>
    <row r="38" spans="2:7" x14ac:dyDescent="0.3">
      <c r="B38" s="25"/>
      <c r="C38" s="25"/>
      <c r="E38" s="44"/>
    </row>
    <row r="39" spans="2:7" x14ac:dyDescent="0.3">
      <c r="B39" s="3" t="s">
        <v>279</v>
      </c>
    </row>
    <row r="40" spans="2:7" x14ac:dyDescent="0.3">
      <c r="B40" s="3"/>
    </row>
    <row r="43" spans="2:7" x14ac:dyDescent="0.3">
      <c r="B43" s="25" t="s">
        <v>433</v>
      </c>
    </row>
    <row r="44" spans="2:7" x14ac:dyDescent="0.3">
      <c r="B44" t="s">
        <v>599</v>
      </c>
    </row>
    <row r="46" spans="2:7" ht="86.4" x14ac:dyDescent="0.3">
      <c r="B46" s="2" t="s">
        <v>257</v>
      </c>
      <c r="C46" s="42" t="s">
        <v>458</v>
      </c>
      <c r="D46" s="42" t="s">
        <v>274</v>
      </c>
      <c r="E46" s="42" t="s">
        <v>275</v>
      </c>
      <c r="F46" s="42" t="s">
        <v>459</v>
      </c>
      <c r="G46" s="42" t="s">
        <v>276</v>
      </c>
    </row>
    <row r="47" spans="2:7" x14ac:dyDescent="0.3">
      <c r="B47" s="2" t="s">
        <v>261</v>
      </c>
      <c r="C47" s="206">
        <v>2222.7880558431598</v>
      </c>
      <c r="D47" s="42">
        <v>7.61</v>
      </c>
      <c r="E47" s="168">
        <f>C47*D47%</f>
        <v>169.15417104966446</v>
      </c>
      <c r="F47" s="2">
        <v>2112.79</v>
      </c>
      <c r="G47" s="169">
        <f>E47*F47</f>
        <v>357387.24105202057</v>
      </c>
    </row>
    <row r="48" spans="2:7" x14ac:dyDescent="0.3">
      <c r="B48" s="2" t="s">
        <v>262</v>
      </c>
      <c r="C48" s="206">
        <v>1970.8068315920796</v>
      </c>
      <c r="D48" s="42">
        <v>7.61</v>
      </c>
      <c r="E48" s="168">
        <f t="shared" ref="E48:E58" si="1">C48*D48%</f>
        <v>149.97839988415726</v>
      </c>
      <c r="F48" s="2">
        <v>2112.79</v>
      </c>
      <c r="G48" s="169">
        <f t="shared" ref="G48:G58" si="2">E48*F48</f>
        <v>316872.86349124863</v>
      </c>
    </row>
    <row r="49" spans="2:9" x14ac:dyDescent="0.3">
      <c r="B49" s="2" t="s">
        <v>263</v>
      </c>
      <c r="C49" s="206">
        <v>1939.3614442731398</v>
      </c>
      <c r="D49" s="42">
        <v>7.61</v>
      </c>
      <c r="E49" s="168">
        <f t="shared" si="1"/>
        <v>147.58540590918594</v>
      </c>
      <c r="F49" s="2">
        <v>2112.79</v>
      </c>
      <c r="G49" s="169">
        <f t="shared" si="2"/>
        <v>311816.96975086897</v>
      </c>
    </row>
    <row r="50" spans="2:9" x14ac:dyDescent="0.3">
      <c r="B50" s="2" t="s">
        <v>264</v>
      </c>
      <c r="C50" s="206">
        <v>1684.0341531928398</v>
      </c>
      <c r="D50" s="42">
        <v>7.61</v>
      </c>
      <c r="E50" s="168">
        <f t="shared" si="1"/>
        <v>128.15499905797512</v>
      </c>
      <c r="F50" s="2">
        <v>2112.79</v>
      </c>
      <c r="G50" s="169">
        <f t="shared" si="2"/>
        <v>270764.60045969923</v>
      </c>
    </row>
    <row r="51" spans="2:9" x14ac:dyDescent="0.3">
      <c r="B51" s="2" t="s">
        <v>265</v>
      </c>
      <c r="C51" s="206">
        <v>1508.9572819113398</v>
      </c>
      <c r="D51" s="42">
        <v>7.61</v>
      </c>
      <c r="E51" s="168">
        <f t="shared" si="1"/>
        <v>114.83164915345296</v>
      </c>
      <c r="F51" s="2">
        <v>2112.79</v>
      </c>
      <c r="G51" s="169">
        <f t="shared" si="2"/>
        <v>242615.16001492387</v>
      </c>
    </row>
    <row r="52" spans="2:9" x14ac:dyDescent="0.3">
      <c r="B52" s="2" t="s">
        <v>266</v>
      </c>
      <c r="C52" s="206">
        <v>1341.8120641285998</v>
      </c>
      <c r="D52" s="42">
        <v>7.61</v>
      </c>
      <c r="E52" s="168">
        <f t="shared" si="1"/>
        <v>102.11189808018645</v>
      </c>
      <c r="F52" s="2">
        <v>2112.79</v>
      </c>
      <c r="G52" s="169">
        <f t="shared" si="2"/>
        <v>215740.99714483714</v>
      </c>
    </row>
    <row r="53" spans="2:9" x14ac:dyDescent="0.3">
      <c r="B53" s="2" t="s">
        <v>267</v>
      </c>
      <c r="C53" s="206">
        <v>1114.5798486070598</v>
      </c>
      <c r="D53" s="42">
        <v>7.61</v>
      </c>
      <c r="E53" s="168">
        <f t="shared" si="1"/>
        <v>84.819526478997261</v>
      </c>
      <c r="F53" s="2">
        <v>2112.79</v>
      </c>
      <c r="G53" s="169">
        <f t="shared" si="2"/>
        <v>179205.84734956062</v>
      </c>
    </row>
    <row r="54" spans="2:9" x14ac:dyDescent="0.3">
      <c r="B54" s="2" t="s">
        <v>268</v>
      </c>
      <c r="C54" s="206">
        <v>1221.6741505641598</v>
      </c>
      <c r="D54" s="42">
        <v>7.61</v>
      </c>
      <c r="E54" s="168">
        <f t="shared" si="1"/>
        <v>92.969402857932565</v>
      </c>
      <c r="F54" s="2">
        <v>2112.79</v>
      </c>
      <c r="G54" s="169">
        <f t="shared" si="2"/>
        <v>196424.82466421134</v>
      </c>
    </row>
    <row r="55" spans="2:9" x14ac:dyDescent="0.3">
      <c r="B55" s="2" t="s">
        <v>269</v>
      </c>
      <c r="C55" s="206">
        <v>1327.0386431550596</v>
      </c>
      <c r="D55" s="42">
        <v>7.61</v>
      </c>
      <c r="E55" s="168">
        <f t="shared" si="1"/>
        <v>100.98764074410003</v>
      </c>
      <c r="F55" s="2">
        <v>2112.79</v>
      </c>
      <c r="G55" s="169">
        <f t="shared" si="2"/>
        <v>213365.67748772711</v>
      </c>
    </row>
    <row r="56" spans="2:9" x14ac:dyDescent="0.3">
      <c r="B56" s="2" t="s">
        <v>270</v>
      </c>
      <c r="C56" s="206">
        <v>1639.0240889912197</v>
      </c>
      <c r="D56" s="42">
        <v>7.61</v>
      </c>
      <c r="E56" s="168">
        <f t="shared" si="1"/>
        <v>124.72973317223182</v>
      </c>
      <c r="F56" s="2">
        <v>2112.79</v>
      </c>
      <c r="G56" s="169">
        <f t="shared" si="2"/>
        <v>263527.73294895963</v>
      </c>
    </row>
    <row r="57" spans="2:9" x14ac:dyDescent="0.3">
      <c r="B57" s="2" t="s">
        <v>271</v>
      </c>
      <c r="C57" s="206">
        <v>1976.1787917219599</v>
      </c>
      <c r="D57" s="42">
        <v>7.61</v>
      </c>
      <c r="E57" s="168">
        <f t="shared" si="1"/>
        <v>150.38720605004116</v>
      </c>
      <c r="F57" s="2">
        <v>2112.79</v>
      </c>
      <c r="G57" s="169">
        <f t="shared" si="2"/>
        <v>317736.58507046645</v>
      </c>
    </row>
    <row r="58" spans="2:9" x14ac:dyDescent="0.3">
      <c r="B58" s="2" t="s">
        <v>272</v>
      </c>
      <c r="C58" s="206">
        <v>2259.5045861816798</v>
      </c>
      <c r="D58" s="42">
        <v>7.61</v>
      </c>
      <c r="E58" s="168">
        <f t="shared" si="1"/>
        <v>171.94829900842583</v>
      </c>
      <c r="F58" s="2">
        <v>2112.79</v>
      </c>
      <c r="G58" s="169">
        <f t="shared" si="2"/>
        <v>363290.64666201203</v>
      </c>
    </row>
    <row r="59" spans="2:9" x14ac:dyDescent="0.3">
      <c r="B59" s="2" t="s">
        <v>494</v>
      </c>
      <c r="C59" s="158">
        <f>SUM(C47:C58)</f>
        <v>20205.759940162297</v>
      </c>
      <c r="D59" s="38">
        <v>7.61</v>
      </c>
      <c r="E59" s="158">
        <f>C59*D59%</f>
        <v>1537.6583314463508</v>
      </c>
      <c r="F59" s="38">
        <v>2112.79</v>
      </c>
      <c r="G59" s="158">
        <f>E59*F59</f>
        <v>3248749.1460965355</v>
      </c>
      <c r="I59" s="25"/>
    </row>
    <row r="60" spans="2:9" x14ac:dyDescent="0.3">
      <c r="B60" s="1"/>
      <c r="C60" s="1"/>
      <c r="D60" s="1"/>
      <c r="E60" s="159"/>
      <c r="F60" s="1"/>
      <c r="G60" s="160"/>
    </row>
    <row r="61" spans="2:9" x14ac:dyDescent="0.3">
      <c r="B61" s="1"/>
      <c r="C61" s="1"/>
      <c r="D61" s="1"/>
      <c r="E61" s="159"/>
      <c r="F61" s="1"/>
      <c r="G61" s="160"/>
    </row>
    <row r="62" spans="2:9" x14ac:dyDescent="0.3">
      <c r="B62" s="3"/>
    </row>
    <row r="63" spans="2:9" x14ac:dyDescent="0.3">
      <c r="B63" s="25" t="s">
        <v>601</v>
      </c>
      <c r="C63" s="25"/>
      <c r="E63" s="44">
        <f>E22+G59</f>
        <v>11338602.416496536</v>
      </c>
    </row>
    <row r="64" spans="2:9" x14ac:dyDescent="0.3">
      <c r="B64" s="25"/>
      <c r="C64" s="25"/>
      <c r="E64" s="44"/>
    </row>
    <row r="65" spans="2:5" x14ac:dyDescent="0.3">
      <c r="B65" s="25"/>
      <c r="C65" s="25"/>
      <c r="E65" s="44"/>
    </row>
    <row r="66" spans="2:5" x14ac:dyDescent="0.3">
      <c r="B66" s="3" t="s">
        <v>279</v>
      </c>
    </row>
  </sheetData>
  <mergeCells count="3">
    <mergeCell ref="B4:E4"/>
    <mergeCell ref="B5:E5"/>
    <mergeCell ref="B6:E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J21"/>
  <sheetViews>
    <sheetView topLeftCell="A4" workbookViewId="0">
      <selection activeCell="L22" sqref="L22"/>
    </sheetView>
  </sheetViews>
  <sheetFormatPr defaultRowHeight="14.4" x14ac:dyDescent="0.3"/>
  <cols>
    <col min="1" max="1" width="5.21875" customWidth="1"/>
    <col min="2" max="2" width="10.77734375" customWidth="1"/>
    <col min="3" max="3" width="14.77734375" customWidth="1"/>
    <col min="4" max="5" width="12" customWidth="1"/>
    <col min="6" max="7" width="12.88671875" customWidth="1"/>
    <col min="8" max="8" width="11.6640625" customWidth="1"/>
    <col min="9" max="10" width="13.44140625" customWidth="1"/>
  </cols>
  <sheetData>
    <row r="2" spans="1:10" ht="18" x14ac:dyDescent="0.35">
      <c r="B2" s="73" t="s">
        <v>580</v>
      </c>
      <c r="C2" s="73"/>
      <c r="D2" s="73"/>
      <c r="E2" s="73"/>
      <c r="F2" s="73"/>
      <c r="H2" s="73"/>
    </row>
    <row r="3" spans="1:10" x14ac:dyDescent="0.3">
      <c r="C3" t="s">
        <v>583</v>
      </c>
      <c r="E3" s="25" t="s">
        <v>584</v>
      </c>
      <c r="H3" t="s">
        <v>107</v>
      </c>
    </row>
    <row r="4" spans="1:10" x14ac:dyDescent="0.3">
      <c r="A4" s="2"/>
      <c r="B4" s="325" t="s">
        <v>467</v>
      </c>
      <c r="C4" s="326"/>
      <c r="D4" s="327" t="s">
        <v>221</v>
      </c>
      <c r="E4" s="327"/>
      <c r="F4" s="327"/>
      <c r="G4" s="327"/>
      <c r="H4" s="327"/>
      <c r="I4" s="327" t="s">
        <v>88</v>
      </c>
      <c r="J4" s="328" t="s">
        <v>585</v>
      </c>
    </row>
    <row r="5" spans="1:10" ht="43.2" x14ac:dyDescent="0.3">
      <c r="A5" s="2"/>
      <c r="B5" s="2" t="s">
        <v>579</v>
      </c>
      <c r="C5" s="2" t="s">
        <v>465</v>
      </c>
      <c r="D5" s="42" t="s">
        <v>470</v>
      </c>
      <c r="E5" s="42" t="s">
        <v>471</v>
      </c>
      <c r="F5" s="42" t="s">
        <v>581</v>
      </c>
      <c r="G5" s="42" t="s">
        <v>473</v>
      </c>
      <c r="H5" s="42" t="s">
        <v>582</v>
      </c>
      <c r="I5" s="327"/>
      <c r="J5" s="328"/>
    </row>
    <row r="6" spans="1:10" x14ac:dyDescent="0.3">
      <c r="A6" s="2">
        <v>1</v>
      </c>
      <c r="B6" s="2">
        <v>187725</v>
      </c>
      <c r="C6" s="43">
        <v>1067699.6399999999</v>
      </c>
      <c r="D6" s="2">
        <v>3.31</v>
      </c>
      <c r="E6" s="2">
        <v>164095.64000000001</v>
      </c>
      <c r="F6" s="43">
        <f t="shared" ref="F6:F11" si="0">D6*E6</f>
        <v>543156.56840000011</v>
      </c>
      <c r="G6" s="2">
        <v>2794.21</v>
      </c>
      <c r="H6" s="43">
        <f>B6*G6/1000</f>
        <v>524543.07224999997</v>
      </c>
      <c r="I6" s="43">
        <f>F6+H6</f>
        <v>1067699.64065</v>
      </c>
      <c r="J6" s="43">
        <f>I6*1.18</f>
        <v>1259885.5759669999</v>
      </c>
    </row>
    <row r="7" spans="1:10" x14ac:dyDescent="0.3">
      <c r="A7" s="2">
        <v>2</v>
      </c>
      <c r="B7" s="2">
        <v>168707</v>
      </c>
      <c r="C7" s="2">
        <v>911465.88</v>
      </c>
      <c r="D7" s="2">
        <v>3.31</v>
      </c>
      <c r="E7" s="2">
        <v>164095.64000000001</v>
      </c>
      <c r="F7" s="43">
        <f t="shared" si="0"/>
        <v>543156.56840000011</v>
      </c>
      <c r="G7" s="43">
        <v>2183.13</v>
      </c>
      <c r="H7" s="43">
        <f t="shared" ref="H7:H17" si="1">B7*G7/1000</f>
        <v>368309.31291000004</v>
      </c>
      <c r="I7" s="43">
        <f t="shared" ref="I7:I11" si="2">F7+H7</f>
        <v>911465.88131000008</v>
      </c>
      <c r="J7" s="43">
        <f t="shared" ref="J7:J17" si="3">I7*1.18</f>
        <v>1075529.7399458</v>
      </c>
    </row>
    <row r="8" spans="1:10" x14ac:dyDescent="0.3">
      <c r="A8" s="2">
        <v>3</v>
      </c>
      <c r="B8" s="2">
        <v>150398</v>
      </c>
      <c r="C8" s="2">
        <v>831156.71</v>
      </c>
      <c r="D8" s="2">
        <v>3.31</v>
      </c>
      <c r="E8" s="2">
        <v>164095.64000000001</v>
      </c>
      <c r="F8" s="43">
        <f t="shared" si="0"/>
        <v>543156.56840000011</v>
      </c>
      <c r="G8" s="2">
        <v>1914.92</v>
      </c>
      <c r="H8" s="43">
        <f t="shared" si="1"/>
        <v>288000.13816000003</v>
      </c>
      <c r="I8" s="43">
        <f t="shared" si="2"/>
        <v>831156.70656000008</v>
      </c>
      <c r="J8" s="43">
        <f t="shared" si="3"/>
        <v>980764.9137408</v>
      </c>
    </row>
    <row r="9" spans="1:10" x14ac:dyDescent="0.3">
      <c r="A9" s="2">
        <v>4</v>
      </c>
      <c r="B9" s="2">
        <v>118800</v>
      </c>
      <c r="C9" s="43">
        <v>771385.63</v>
      </c>
      <c r="D9" s="2">
        <v>3.31</v>
      </c>
      <c r="E9" s="2">
        <v>164095.64000000001</v>
      </c>
      <c r="F9" s="43">
        <f t="shared" si="0"/>
        <v>543156.56840000011</v>
      </c>
      <c r="G9" s="2">
        <v>1921.12</v>
      </c>
      <c r="H9" s="43">
        <f t="shared" si="1"/>
        <v>228229.05600000001</v>
      </c>
      <c r="I9" s="43">
        <f>F9+H9+0.01</f>
        <v>771385.6344000001</v>
      </c>
      <c r="J9" s="43">
        <f t="shared" si="3"/>
        <v>910235.04859200004</v>
      </c>
    </row>
    <row r="10" spans="1:10" x14ac:dyDescent="0.3">
      <c r="A10" s="2">
        <v>5</v>
      </c>
      <c r="B10" s="2">
        <v>104354</v>
      </c>
      <c r="C10" s="43">
        <v>740313.63</v>
      </c>
      <c r="D10" s="2">
        <v>3.31</v>
      </c>
      <c r="E10" s="2">
        <v>164095.64000000001</v>
      </c>
      <c r="F10" s="43">
        <f t="shared" si="0"/>
        <v>543156.56840000011</v>
      </c>
      <c r="G10" s="2">
        <v>1889.31</v>
      </c>
      <c r="H10" s="43">
        <f t="shared" si="1"/>
        <v>197157.05573999998</v>
      </c>
      <c r="I10" s="43">
        <f>F10+H10+0.01</f>
        <v>740313.6341400001</v>
      </c>
      <c r="J10" s="43">
        <f t="shared" si="3"/>
        <v>873570.08828520007</v>
      </c>
    </row>
    <row r="11" spans="1:10" x14ac:dyDescent="0.3">
      <c r="A11" s="2">
        <v>6</v>
      </c>
      <c r="B11" s="2">
        <v>98030</v>
      </c>
      <c r="C11" s="43">
        <v>776666.97</v>
      </c>
      <c r="D11" s="2">
        <v>3.31</v>
      </c>
      <c r="E11" s="2">
        <v>164095.64000000001</v>
      </c>
      <c r="F11" s="43">
        <f t="shared" si="0"/>
        <v>543156.56840000011</v>
      </c>
      <c r="G11" s="2">
        <v>2382.0300000000002</v>
      </c>
      <c r="H11" s="43">
        <f t="shared" si="1"/>
        <v>233510.40090000001</v>
      </c>
      <c r="I11" s="43">
        <f t="shared" si="2"/>
        <v>776666.96930000011</v>
      </c>
      <c r="J11" s="43">
        <f t="shared" si="3"/>
        <v>916467.02377400012</v>
      </c>
    </row>
    <row r="12" spans="1:10" x14ac:dyDescent="0.3">
      <c r="A12" s="2">
        <v>7</v>
      </c>
      <c r="B12" s="193">
        <v>82925</v>
      </c>
      <c r="C12" s="43">
        <v>696516.81</v>
      </c>
      <c r="D12" s="2">
        <v>3.31</v>
      </c>
      <c r="E12" s="2">
        <v>173164.15</v>
      </c>
      <c r="F12" s="43">
        <f>D12*E12</f>
        <v>573173.33649999998</v>
      </c>
      <c r="G12" s="43">
        <v>1487.41</v>
      </c>
      <c r="H12" s="43">
        <f t="shared" si="1"/>
        <v>123343.47425</v>
      </c>
      <c r="I12" s="43">
        <f>F12+H12</f>
        <v>696516.81074999995</v>
      </c>
      <c r="J12" s="43">
        <f t="shared" si="3"/>
        <v>821889.83668499987</v>
      </c>
    </row>
    <row r="13" spans="1:10" x14ac:dyDescent="0.3">
      <c r="A13" s="2">
        <v>8</v>
      </c>
      <c r="B13" s="2">
        <v>85598</v>
      </c>
      <c r="C13" s="43">
        <v>686529.92</v>
      </c>
      <c r="D13" s="2">
        <v>3.31</v>
      </c>
      <c r="E13" s="2">
        <v>173164.15</v>
      </c>
      <c r="F13" s="43">
        <f t="shared" ref="F13:F17" si="4">D13*E13</f>
        <v>573173.33649999998</v>
      </c>
      <c r="G13" s="43">
        <v>1324.29</v>
      </c>
      <c r="H13" s="43">
        <f t="shared" si="1"/>
        <v>113356.57542000001</v>
      </c>
      <c r="I13" s="43">
        <f>F13+H13</f>
        <v>686529.91191999998</v>
      </c>
      <c r="J13" s="43">
        <f t="shared" si="3"/>
        <v>810105.29606559989</v>
      </c>
    </row>
    <row r="14" spans="1:10" x14ac:dyDescent="0.3">
      <c r="A14" s="2">
        <v>9</v>
      </c>
      <c r="B14" s="2">
        <v>97123</v>
      </c>
      <c r="C14" s="43">
        <v>754401.94</v>
      </c>
      <c r="D14" s="2">
        <v>3.31</v>
      </c>
      <c r="E14" s="2">
        <v>173164.15</v>
      </c>
      <c r="F14" s="43">
        <f t="shared" si="4"/>
        <v>573173.33649999998</v>
      </c>
      <c r="G14" s="43">
        <v>1865.97</v>
      </c>
      <c r="H14" s="43">
        <f t="shared" si="1"/>
        <v>181228.60431</v>
      </c>
      <c r="I14" s="43">
        <f t="shared" ref="I14:I17" si="5">F14+H14</f>
        <v>754401.94080999994</v>
      </c>
      <c r="J14" s="43">
        <f t="shared" si="3"/>
        <v>890194.29015579983</v>
      </c>
    </row>
    <row r="15" spans="1:10" x14ac:dyDescent="0.3">
      <c r="A15" s="163">
        <v>10</v>
      </c>
      <c r="B15" s="2">
        <v>119906</v>
      </c>
      <c r="C15" s="2">
        <v>745347.56</v>
      </c>
      <c r="D15" s="2">
        <v>3.31</v>
      </c>
      <c r="E15" s="2">
        <v>173164.15</v>
      </c>
      <c r="F15" s="43">
        <f t="shared" si="4"/>
        <v>573173.33649999998</v>
      </c>
      <c r="G15" s="43">
        <v>1435.91</v>
      </c>
      <c r="H15" s="43">
        <f t="shared" si="1"/>
        <v>172174.22446</v>
      </c>
      <c r="I15" s="43">
        <f t="shared" si="5"/>
        <v>745347.56095999992</v>
      </c>
      <c r="J15" s="43">
        <f t="shared" si="3"/>
        <v>879510.12193279981</v>
      </c>
    </row>
    <row r="16" spans="1:10" x14ac:dyDescent="0.3">
      <c r="A16" s="163">
        <v>11</v>
      </c>
      <c r="B16" s="2">
        <v>141070</v>
      </c>
      <c r="C16" s="2">
        <v>778109.96</v>
      </c>
      <c r="D16" s="2">
        <v>3.31</v>
      </c>
      <c r="E16" s="2">
        <v>173164.15</v>
      </c>
      <c r="F16" s="43">
        <f t="shared" si="4"/>
        <v>573173.33649999998</v>
      </c>
      <c r="G16" s="43">
        <v>1452.73</v>
      </c>
      <c r="H16" s="43">
        <f t="shared" si="1"/>
        <v>204936.62109999999</v>
      </c>
      <c r="I16" s="43">
        <f t="shared" si="5"/>
        <v>778109.95759999997</v>
      </c>
      <c r="J16" s="43">
        <f t="shared" si="3"/>
        <v>918169.74996799987</v>
      </c>
    </row>
    <row r="17" spans="1:10" x14ac:dyDescent="0.3">
      <c r="A17" s="163">
        <v>12</v>
      </c>
      <c r="B17" s="2">
        <v>181393</v>
      </c>
      <c r="C17" s="2">
        <v>1183684.1299999999</v>
      </c>
      <c r="D17" s="2">
        <v>3.31</v>
      </c>
      <c r="E17" s="2">
        <v>173164.15</v>
      </c>
      <c r="F17" s="43">
        <f t="shared" si="4"/>
        <v>573173.33649999998</v>
      </c>
      <c r="G17" s="43">
        <v>3365.68</v>
      </c>
      <c r="H17" s="43">
        <f t="shared" si="1"/>
        <v>610510.79223999998</v>
      </c>
      <c r="I17" s="43">
        <f t="shared" si="5"/>
        <v>1183684.1287400001</v>
      </c>
      <c r="J17" s="43">
        <f t="shared" si="3"/>
        <v>1396747.2719131999</v>
      </c>
    </row>
    <row r="18" spans="1:10" x14ac:dyDescent="0.3">
      <c r="A18" s="2" t="s">
        <v>321</v>
      </c>
      <c r="B18" s="38">
        <f>SUM(B6:B17)</f>
        <v>1536029</v>
      </c>
      <c r="C18" s="38">
        <f t="shared" ref="C18" si="6">SUM(C6:C17)</f>
        <v>9943278.7799999975</v>
      </c>
      <c r="D18" s="2"/>
      <c r="E18" s="2"/>
      <c r="F18" s="158">
        <f t="shared" ref="F18" si="7">SUM(F6:F17)</f>
        <v>6697979.4294000017</v>
      </c>
      <c r="G18" s="158">
        <f>H18/B18*1000</f>
        <v>2112.7851933394486</v>
      </c>
      <c r="H18" s="158">
        <f t="shared" ref="H18" si="8">SUM(H6:H17)</f>
        <v>3245299.3277400001</v>
      </c>
      <c r="I18" s="158">
        <f>SUM(I6:I17)</f>
        <v>9943278.777139999</v>
      </c>
      <c r="J18" s="158">
        <f>SUM(J6:J17)</f>
        <v>11733068.957025198</v>
      </c>
    </row>
    <row r="21" spans="1:10" x14ac:dyDescent="0.3">
      <c r="A21" t="s">
        <v>0</v>
      </c>
      <c r="F21" t="s">
        <v>282</v>
      </c>
    </row>
  </sheetData>
  <mergeCells count="4">
    <mergeCell ref="B4:C4"/>
    <mergeCell ref="D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НВВ 2020</vt:lpstr>
      <vt:lpstr>интел.учет</vt:lpstr>
      <vt:lpstr>Кол-во учетов</vt:lpstr>
      <vt:lpstr>2.2</vt:lpstr>
      <vt:lpstr>2.1</vt:lpstr>
      <vt:lpstr>2.1бесхоз</vt:lpstr>
      <vt:lpstr>1.16</vt:lpstr>
      <vt:lpstr>мэс-план</vt:lpstr>
      <vt:lpstr>МЭС- факт</vt:lpstr>
      <vt:lpstr>ДЭК</vt:lpstr>
      <vt:lpstr>ДРСК</vt:lpstr>
      <vt:lpstr>Смета расходов по годам</vt:lpstr>
      <vt:lpstr>план-факт 2018</vt:lpstr>
      <vt:lpstr>Отчет по НВВ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2019-04-17T23:06:43Z</dcterms:modified>
</cp:coreProperties>
</file>